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<sst xmlns="http://schemas.openxmlformats.org/spreadsheetml/2006/main" count="159" uniqueCount="113">
  <si>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</si>
  <si>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</si>
  <si>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</si>
  <si>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</si>
  <si>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</si>
  <si>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</si>
  <si>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</si>
  <si>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</si>
  <si>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</si>
  <si>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</si>
  <si>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</si>
  <si>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</si>
  <si>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</si>
  <si>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</si>
  <si>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</si>
  <si>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</si>
  <si>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</si>
  <si>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</si>
  <si>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</si>
  <si>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</si>
  <si>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</si>
  <si>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</si>
  <si>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</si>
  <si>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</si>
  <si>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</si>
  <si>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</si>
  <si>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</si>
  <si>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</si>
  <si>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</si>
  <si>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</si>
  <si>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</si>
  <si>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</si>
  <si>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</si>
  <si>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</si>
  <si>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</si>
  <si>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</si>
  <si>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</si>
  <si>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</si>
  <si>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</si>
  <si>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</si>
  <si>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</si>
  <si>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</si>
  <si>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</si>
  <si>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</si>
  <si>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</si>
  <si>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</si>
  <si>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</si>
  <si>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</si>
  <si>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</si>
  <si>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</si>
  <si>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</si>
  <si>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</si>
  <si>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</si>
  <si>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</si>
  <si>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</si>
  <si>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</si>
  <si>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</si>
  <si>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</si>
  <si>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</si>
  <si>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</si>
  <si>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</si>
  <si>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</si>
  <si>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</si>
  <si>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</si>
  <si>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</si>
  <si>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</si>
  <si>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</si>
  <si>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</si>
  <si>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</si>
  <si>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</si>
  <si>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</si>
  <si>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</si>
  <si>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</si>
  <si>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</si>
  <si>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</si>
  <si>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</si>
  <si>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</si>
  <si>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</si>
  <si>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</si>
  <si>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</si>
  <si>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</si>
  <si>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</si>
  <si>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</si>
  <si>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</si>
  <si>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</si>
  <si>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</si>
  <si>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</si>
  <si>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</si>
  <si>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</si>
  <si>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</si>
  <si>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</si>
  <si>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</si>
  <si>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</si>
  <si>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</si>
  <si>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</si>
  <si>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</si>
  <si>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</si>
  <si>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</si>
  <si>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</si>
  <si>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</si>
  <si>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</si>
  <si>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</si>
  <si>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</si>
  <si>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</si>
  <si>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</si>
  <si>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</si>
  <si>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</si>
  <si>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</si>
  <si>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</si>
  <si>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</si>
  <si>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</si>
  <si>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</si>
  <si>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04.12.2014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</si>
</sst>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43903.5</c:v>
                </c:pt>
                <c:pt idx="1">
                  <c:v>36921</c:v>
                </c:pt>
                <c:pt idx="2">
                  <c:v>1977.6</c:v>
                </c:pt>
                <c:pt idx="3">
                  <c:v>5004.9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38752.400000000016</c:v>
                </c:pt>
                <c:pt idx="1">
                  <c:v>33488.6</c:v>
                </c:pt>
                <c:pt idx="2">
                  <c:v>1263.5000000000002</c:v>
                </c:pt>
                <c:pt idx="3">
                  <c:v>4000.3000000000175</c:v>
                </c:pt>
              </c:numCache>
            </c:numRef>
          </c:val>
          <c:shape val="box"/>
        </c:ser>
        <c:shape val="box"/>
        <c:axId val="60461115"/>
        <c:axId val="7279124"/>
      </c:bar3DChart>
      <c:catAx>
        <c:axId val="6046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279124"/>
        <c:crosses val="autoZero"/>
        <c:auto val="1"/>
        <c:lblOffset val="100"/>
        <c:tickLblSkip val="1"/>
        <c:noMultiLvlLbl val="0"/>
      </c:catAx>
      <c:valAx>
        <c:axId val="7279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11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275248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39452</c:v>
                </c:pt>
                <c:pt idx="5">
                  <c:v>253.70000000000002</c:v>
                </c:pt>
                <c:pt idx="6">
                  <c:v>2281.8999999999915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253643.91</c:v>
                </c:pt>
                <c:pt idx="1">
                  <c:v>212495.79999999993</c:v>
                </c:pt>
                <c:pt idx="2">
                  <c:v>30.599999999999998</c:v>
                </c:pt>
                <c:pt idx="3">
                  <c:v>15069.699999999999</c:v>
                </c:pt>
                <c:pt idx="4">
                  <c:v>24250.199999999993</c:v>
                </c:pt>
                <c:pt idx="5">
                  <c:v>209</c:v>
                </c:pt>
                <c:pt idx="6">
                  <c:v>1588.6100000000843</c:v>
                </c:pt>
              </c:numCache>
            </c:numRef>
          </c:val>
          <c:shape val="box"/>
        </c:ser>
        <c:shape val="box"/>
        <c:axId val="65512117"/>
        <c:axId val="52738142"/>
      </c:bar3DChart>
      <c:catAx>
        <c:axId val="6551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38142"/>
        <c:crosses val="autoZero"/>
        <c:auto val="1"/>
        <c:lblOffset val="100"/>
        <c:tickLblSkip val="1"/>
        <c:noMultiLvlLbl val="0"/>
      </c:catAx>
      <c:valAx>
        <c:axId val="52738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121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178685</c:v>
                </c:pt>
                <c:pt idx="1">
                  <c:v>134320.8</c:v>
                </c:pt>
                <c:pt idx="2">
                  <c:v>7851.5</c:v>
                </c:pt>
                <c:pt idx="3">
                  <c:v>2836.6</c:v>
                </c:pt>
                <c:pt idx="4">
                  <c:v>19353.6</c:v>
                </c:pt>
                <c:pt idx="5">
                  <c:v>1403.5</c:v>
                </c:pt>
                <c:pt idx="6">
                  <c:v>12919.000000000015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167381.90000000002</c:v>
                </c:pt>
                <c:pt idx="1">
                  <c:v>134115.4</c:v>
                </c:pt>
                <c:pt idx="2">
                  <c:v>6001.099999999998</c:v>
                </c:pt>
                <c:pt idx="3">
                  <c:v>2573.8</c:v>
                </c:pt>
                <c:pt idx="4">
                  <c:v>12479.199999999999</c:v>
                </c:pt>
                <c:pt idx="5">
                  <c:v>1269.7999999999997</c:v>
                </c:pt>
                <c:pt idx="6">
                  <c:v>10942.600000000033</c:v>
                </c:pt>
              </c:numCache>
            </c:numRef>
          </c:val>
          <c:shape val="box"/>
        </c:ser>
        <c:shape val="box"/>
        <c:axId val="4881231"/>
        <c:axId val="43931080"/>
      </c:bar3DChart>
      <c:catAx>
        <c:axId val="488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31080"/>
        <c:crosses val="autoZero"/>
        <c:auto val="1"/>
        <c:lblOffset val="100"/>
        <c:tickLblSkip val="1"/>
        <c:noMultiLvlLbl val="0"/>
      </c:catAx>
      <c:valAx>
        <c:axId val="43931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2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27944.5</c:v>
                </c:pt>
                <c:pt idx="2">
                  <c:v>1746.9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6569.400000000003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32839.99999999999</c:v>
                </c:pt>
                <c:pt idx="1">
                  <c:v>25682.700000000004</c:v>
                </c:pt>
                <c:pt idx="2">
                  <c:v>823.0999999999998</c:v>
                </c:pt>
                <c:pt idx="3">
                  <c:v>364.9</c:v>
                </c:pt>
                <c:pt idx="4">
                  <c:v>24.799999999999997</c:v>
                </c:pt>
                <c:pt idx="5">
                  <c:v>5944.499999999989</c:v>
                </c:pt>
              </c:numCache>
            </c:numRef>
          </c:val>
          <c:shape val="box"/>
        </c:ser>
        <c:shape val="box"/>
        <c:axId val="59835401"/>
        <c:axId val="1647698"/>
      </c:bar3DChart>
      <c:catAx>
        <c:axId val="598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7698"/>
        <c:crosses val="autoZero"/>
        <c:auto val="1"/>
        <c:lblOffset val="100"/>
        <c:tickLblSkip val="1"/>
        <c:noMultiLvlLbl val="0"/>
      </c:catAx>
      <c:valAx>
        <c:axId val="1647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54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7635.1</c:v>
                </c:pt>
                <c:pt idx="2">
                  <c:v>9.7</c:v>
                </c:pt>
                <c:pt idx="3">
                  <c:v>323</c:v>
                </c:pt>
                <c:pt idx="4">
                  <c:v>539.1</c:v>
                </c:pt>
                <c:pt idx="5">
                  <c:v>3633.299999999999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10502.200000000003</c:v>
                </c:pt>
                <c:pt idx="1">
                  <c:v>7010.699999999999</c:v>
                </c:pt>
                <c:pt idx="2">
                  <c:v>6.800000000000001</c:v>
                </c:pt>
                <c:pt idx="3">
                  <c:v>196.10000000000002</c:v>
                </c:pt>
                <c:pt idx="4">
                  <c:v>284.4999999999999</c:v>
                </c:pt>
                <c:pt idx="5">
                  <c:v>3004.1000000000035</c:v>
                </c:pt>
              </c:numCache>
            </c:numRef>
          </c:val>
          <c:shape val="box"/>
        </c:ser>
        <c:shape val="box"/>
        <c:axId val="14829283"/>
        <c:axId val="66354684"/>
      </c:bar3DChart>
      <c:catAx>
        <c:axId val="1482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54684"/>
        <c:crosses val="autoZero"/>
        <c:auto val="1"/>
        <c:lblOffset val="100"/>
        <c:tickLblSkip val="2"/>
        <c:noMultiLvlLbl val="0"/>
      </c:catAx>
      <c:valAx>
        <c:axId val="66354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2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2818.3000000000006</c:v>
                </c:pt>
                <c:pt idx="1">
                  <c:v>1672.9</c:v>
                </c:pt>
                <c:pt idx="2">
                  <c:v>181.4</c:v>
                </c:pt>
                <c:pt idx="3">
                  <c:v>142.80000000000004</c:v>
                </c:pt>
                <c:pt idx="4">
                  <c:v>728.3000000000001</c:v>
                </c:pt>
                <c:pt idx="5">
                  <c:v>92.9000000000004</c:v>
                </c:pt>
              </c:numCache>
            </c:numRef>
          </c:val>
          <c:shape val="box"/>
        </c:ser>
        <c:shape val="box"/>
        <c:axId val="60321245"/>
        <c:axId val="6020294"/>
      </c:bar3DChart>
      <c:catAx>
        <c:axId val="60321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0294"/>
        <c:crosses val="autoZero"/>
        <c:auto val="1"/>
        <c:lblOffset val="100"/>
        <c:tickLblSkip val="1"/>
        <c:noMultiLvlLbl val="0"/>
      </c:catAx>
      <c:valAx>
        <c:axId val="6020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12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33047.8</c:v>
                </c:pt>
              </c:numCache>
            </c:numRef>
          </c:val>
          <c:shape val="box"/>
        </c:ser>
        <c:shape val="box"/>
        <c:axId val="54182647"/>
        <c:axId val="17881776"/>
      </c:bar3DChart>
      <c:catAx>
        <c:axId val="541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881776"/>
        <c:crosses val="autoZero"/>
        <c:auto val="1"/>
        <c:lblOffset val="100"/>
        <c:tickLblSkip val="1"/>
        <c:noMultiLvlLbl val="0"/>
      </c:catAx>
      <c:valAx>
        <c:axId val="17881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826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275248</c:v>
                </c:pt>
                <c:pt idx="1">
                  <c:v>178685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43903.5</c:v>
                </c:pt>
                <c:pt idx="6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253643.91</c:v>
                </c:pt>
                <c:pt idx="1">
                  <c:v>167381.90000000002</c:v>
                </c:pt>
                <c:pt idx="2">
                  <c:v>32839.99999999999</c:v>
                </c:pt>
                <c:pt idx="3">
                  <c:v>10502.200000000003</c:v>
                </c:pt>
                <c:pt idx="4">
                  <c:v>2818.3000000000006</c:v>
                </c:pt>
                <c:pt idx="5">
                  <c:v>38752.400000000016</c:v>
                </c:pt>
                <c:pt idx="6">
                  <c:v>33047.8</c:v>
                </c:pt>
              </c:numCache>
            </c:numRef>
          </c:val>
          <c:shape val="box"/>
        </c:ser>
        <c:shape val="box"/>
        <c:axId val="26718257"/>
        <c:axId val="39137722"/>
      </c:bar3DChart>
      <c:catAx>
        <c:axId val="26718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37722"/>
        <c:crosses val="autoZero"/>
        <c:auto val="1"/>
        <c:lblOffset val="100"/>
        <c:tickLblSkip val="1"/>
        <c:noMultiLvlLbl val="0"/>
      </c:catAx>
      <c:valAx>
        <c:axId val="39137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182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430984.3</c:v>
                </c:pt>
                <c:pt idx="1">
                  <c:v>64669</c:v>
                </c:pt>
                <c:pt idx="2">
                  <c:v>20514.600000000002</c:v>
                </c:pt>
                <c:pt idx="3">
                  <c:v>8561.3</c:v>
                </c:pt>
                <c:pt idx="4">
                  <c:v>7976.8</c:v>
                </c:pt>
                <c:pt idx="5">
                  <c:v>91453.79999999993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420156.8</c:v>
                </c:pt>
                <c:pt idx="1">
                  <c:v>39859.6</c:v>
                </c:pt>
                <c:pt idx="2">
                  <c:v>18073.600000000002</c:v>
                </c:pt>
                <c:pt idx="3">
                  <c:v>6686.200000000001</c:v>
                </c:pt>
                <c:pt idx="4">
                  <c:v>6039.499999999998</c:v>
                </c:pt>
                <c:pt idx="5">
                  <c:v>72178.71000000015</c:v>
                </c:pt>
              </c:numCache>
            </c:numRef>
          </c:val>
          <c:shape val="box"/>
        </c:ser>
        <c:shape val="box"/>
        <c:axId val="16695179"/>
        <c:axId val="16038884"/>
      </c:bar3DChart>
      <c:catAx>
        <c:axId val="1669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38884"/>
        <c:crosses val="autoZero"/>
        <c:auto val="1"/>
        <c:lblOffset val="100"/>
        <c:tickLblSkip val="1"/>
        <c:noMultiLvlLbl val="0"/>
      </c:catAx>
      <c:valAx>
        <c:axId val="16038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951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C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71.25" customHeight="1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/>
      <c r="C6" s="53">
        <f>279531.5-5173.3+47.5+832+10.3</f>
        <v>275248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+117.5+107.7+285+313+275.7+72.6+6635.8+82+20+553.3+2552.5+19+1.4+59.6+115.9+11651.5+334.5+472+19.9+124.3</f>
        <v>253788.11</v>
      </c>
      <c r="E6" s="3">
        <f>D6/D137*100</f>
        <v>44.33921007970756</v>
      </c>
      <c r="F6" s="3" t="e">
        <f>D6/B6*100</f>
        <v>#DIV/0!</v>
      </c>
      <c r="G6" s="3">
        <f aca="true" t="shared" si="0" ref="G6:G41">D6/C6*100</f>
        <v>92.20343472068825</v>
      </c>
      <c r="H6" s="3">
        <f>B6-D6</f>
        <v>-253788.11</v>
      </c>
      <c r="I6" s="3">
        <f aca="true" t="shared" si="1" ref="I6:I41">C6-D6</f>
        <v>21459.890000000014</v>
      </c>
    </row>
    <row r="7" spans="1:9" ht="18">
      <c r="A7" s="29" t="s">
        <v>3</v>
      </c>
      <c r="B7" s="49"/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+72.6+5453.1+553.3+2226.8+11275.5</f>
        <v>212495.79999999993</v>
      </c>
      <c r="E7" s="1">
        <f>D7/D6*100</f>
        <v>83.72961207678324</v>
      </c>
      <c r="F7" s="1" t="e">
        <f>D7/B7*100</f>
        <v>#DIV/0!</v>
      </c>
      <c r="G7" s="1">
        <f t="shared" si="0"/>
        <v>98.32665547185925</v>
      </c>
      <c r="H7" s="1">
        <f>B7-D7</f>
        <v>-212495.79999999993</v>
      </c>
      <c r="I7" s="1">
        <f t="shared" si="1"/>
        <v>3616.3000000000757</v>
      </c>
    </row>
    <row r="8" spans="1:9" ht="18">
      <c r="A8" s="29" t="s">
        <v>2</v>
      </c>
      <c r="B8" s="49"/>
      <c r="C8" s="50">
        <v>44.6</v>
      </c>
      <c r="D8" s="51">
        <f>0.1+0.1+0.3+0.3+2.7+0.7+1.1+1.4+0.5+0.7+1.7+0.4+0.5+1+0.2+0.1+2.9+0.1+0.2+1+0.8+0.9+1.8+0.5+1.6+2.2+2.7+0.1+0.9+0.9+2.2</f>
        <v>30.599999999999998</v>
      </c>
      <c r="E8" s="12">
        <f>D8/D6*100</f>
        <v>0.012057302448093412</v>
      </c>
      <c r="F8" s="1" t="e">
        <f>D8/B8*100</f>
        <v>#DIV/0!</v>
      </c>
      <c r="G8" s="1">
        <f t="shared" si="0"/>
        <v>68.60986547085201</v>
      </c>
      <c r="H8" s="1">
        <f aca="true" t="shared" si="2" ref="H8:H41">B8-D8</f>
        <v>-30.599999999999998</v>
      </c>
      <c r="I8" s="1">
        <f t="shared" si="1"/>
        <v>14.000000000000004</v>
      </c>
    </row>
    <row r="9" spans="1:9" ht="18">
      <c r="A9" s="29" t="s">
        <v>1</v>
      </c>
      <c r="B9" s="49"/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+514.8+14.5+115.9+150+0.2+85.5+287.4+100</f>
        <v>15169.699999999999</v>
      </c>
      <c r="E9" s="1">
        <f>D9/D6*100</f>
        <v>5.977309181269367</v>
      </c>
      <c r="F9" s="1" t="e">
        <f aca="true" t="shared" si="3" ref="F9:F39">D9/B9*100</f>
        <v>#DIV/0!</v>
      </c>
      <c r="G9" s="1">
        <f t="shared" si="0"/>
        <v>88.69250513046883</v>
      </c>
      <c r="H9" s="1">
        <f t="shared" si="2"/>
        <v>-15169.699999999999</v>
      </c>
      <c r="I9" s="1">
        <f t="shared" si="1"/>
        <v>1934.0000000000018</v>
      </c>
    </row>
    <row r="10" spans="1:9" ht="18">
      <c r="A10" s="29" t="s">
        <v>0</v>
      </c>
      <c r="B10" s="49"/>
      <c r="C10" s="50">
        <f>39445.5+0.9+5.6</f>
        <v>39452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+667.8+80.5+319.1+45.1+202.5+217.8+124.6</f>
        <v>24250.199999999993</v>
      </c>
      <c r="E10" s="1">
        <f>D10/D6*100</f>
        <v>9.555293981266496</v>
      </c>
      <c r="F10" s="1" t="e">
        <f t="shared" si="3"/>
        <v>#DIV/0!</v>
      </c>
      <c r="G10" s="1">
        <f t="shared" si="0"/>
        <v>61.46760620500861</v>
      </c>
      <c r="H10" s="1">
        <f t="shared" si="2"/>
        <v>-24250.199999999993</v>
      </c>
      <c r="I10" s="1">
        <f t="shared" si="1"/>
        <v>15201.800000000007</v>
      </c>
    </row>
    <row r="11" spans="1:9" ht="18">
      <c r="A11" s="29" t="s">
        <v>15</v>
      </c>
      <c r="B11" s="49"/>
      <c r="C11" s="50">
        <f>281.8-31.7+3.6</f>
        <v>253.70000000000002</v>
      </c>
      <c r="D11" s="51">
        <f>4+4+12.7+4+4+14.5+4+115.8+4+14.4+5.4+0.1+13.4+1+0.1+7.6</f>
        <v>209</v>
      </c>
      <c r="E11" s="1">
        <f>D11/D6*100</f>
        <v>0.08235216377946154</v>
      </c>
      <c r="F11" s="1" t="e">
        <f t="shared" si="3"/>
        <v>#DIV/0!</v>
      </c>
      <c r="G11" s="1">
        <f t="shared" si="0"/>
        <v>82.3807646826961</v>
      </c>
      <c r="H11" s="1">
        <f t="shared" si="2"/>
        <v>-209</v>
      </c>
      <c r="I11" s="1">
        <f t="shared" si="1"/>
        <v>44.70000000000002</v>
      </c>
    </row>
    <row r="12" spans="1:9" ht="18.75" thickBot="1">
      <c r="A12" s="29" t="s">
        <v>35</v>
      </c>
      <c r="B12" s="50">
        <f>B6-B7-B8-B9-B10-B11</f>
        <v>0</v>
      </c>
      <c r="C12" s="50">
        <f>C6-C7-C8-C9-C10-C11</f>
        <v>2281.8999999999915</v>
      </c>
      <c r="D12" s="50">
        <f>D6-D7-D8-D9-D10-D11</f>
        <v>1632.8100000000668</v>
      </c>
      <c r="E12" s="1">
        <f>D12/D6*100</f>
        <v>0.6433752944533402</v>
      </c>
      <c r="F12" s="1" t="e">
        <f t="shared" si="3"/>
        <v>#DIV/0!</v>
      </c>
      <c r="G12" s="1">
        <f t="shared" si="0"/>
        <v>71.55484464700788</v>
      </c>
      <c r="H12" s="1">
        <f t="shared" si="2"/>
        <v>-1632.8100000000668</v>
      </c>
      <c r="I12" s="1">
        <f t="shared" si="1"/>
        <v>649.0899999999247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/>
      <c r="C17" s="53">
        <f>176050.5+1395.7+321.5+739.4+177.9+21660</f>
        <v>200345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+5426.1+50+29.4+277.2+38+5.8+411.8+251+270+8814.4</f>
        <v>176196.30000000002</v>
      </c>
      <c r="E17" s="3">
        <f>D17/D137*100</f>
        <v>30.783178774479147</v>
      </c>
      <c r="F17" s="3" t="e">
        <f>D17/B17*100</f>
        <v>#DIV/0!</v>
      </c>
      <c r="G17" s="3">
        <f t="shared" si="0"/>
        <v>87.94644238688264</v>
      </c>
      <c r="H17" s="3">
        <f>B17-D17</f>
        <v>-176196.30000000002</v>
      </c>
      <c r="I17" s="3">
        <f t="shared" si="1"/>
        <v>24148.699999999983</v>
      </c>
    </row>
    <row r="18" spans="1:9" ht="18">
      <c r="A18" s="29" t="s">
        <v>5</v>
      </c>
      <c r="B18" s="49"/>
      <c r="C18" s="50">
        <f>133077.8+325.7+739.4+177.9+22396.6</f>
        <v>156717.4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5127.2+6545.1+310.1+0.1+5190.4+6767.1+5380.4+556.1+6698.2+26.3+5454.2+14.7+1807.4+5633.7-0.1+5479.7+8333.7+0.1+5594.2+20.5+8919.7-0.1+6648.6+409.3+7265+6051.8+1663.6+3936.9-0.1+1069.7+155.1+0.3+41.2+5904.4+6325.6+5773.5+12.3+5567+103.7+1041.1+0.1+4287.6+8474.6</f>
        <v>142590</v>
      </c>
      <c r="E18" s="1">
        <f>D18/D17*100</f>
        <v>80.92678450115012</v>
      </c>
      <c r="F18" s="1" t="e">
        <f t="shared" si="3"/>
        <v>#DIV/0!</v>
      </c>
      <c r="G18" s="1">
        <f t="shared" si="0"/>
        <v>90.98542982463978</v>
      </c>
      <c r="H18" s="1">
        <f t="shared" si="2"/>
        <v>-142590</v>
      </c>
      <c r="I18" s="1">
        <f t="shared" si="1"/>
        <v>14127.399999999994</v>
      </c>
    </row>
    <row r="19" spans="1:9" ht="18">
      <c r="A19" s="29" t="s">
        <v>2</v>
      </c>
      <c r="B19" s="49"/>
      <c r="C19" s="50">
        <f>7565.3-5.5+258.8+32.9-133.7</f>
        <v>7717.8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+635.6+28.9+140.8+71.5+94.4</f>
        <v>6001.099999999998</v>
      </c>
      <c r="E19" s="1">
        <f>D19/D17*100</f>
        <v>3.405917150360136</v>
      </c>
      <c r="F19" s="1" t="e">
        <f t="shared" si="3"/>
        <v>#DIV/0!</v>
      </c>
      <c r="G19" s="1">
        <f t="shared" si="0"/>
        <v>77.75661457928422</v>
      </c>
      <c r="H19" s="1">
        <f t="shared" si="2"/>
        <v>-6001.099999999998</v>
      </c>
      <c r="I19" s="1">
        <f t="shared" si="1"/>
        <v>1716.7000000000025</v>
      </c>
    </row>
    <row r="20" spans="1:9" ht="18">
      <c r="A20" s="29" t="s">
        <v>1</v>
      </c>
      <c r="B20" s="49"/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50.7+162.6+43.4+2.3+47.2+1.8+59.1-0.1+62.8+64.5+13.9+16.6+5.7+70.4+205+17+53.6+0.4+52.9+123.3+33.6+13.4+33.2+48.5+167.7+45.5+44.4+10.1+293.6+15.3+0.1+122.4+32+45.4+109.8-0.1+34.2+93.5+81.6+3+110.5+39.5+43.8+99.8-0.1</f>
        <v>2573.8</v>
      </c>
      <c r="E20" s="1">
        <f>D20/D17*100</f>
        <v>1.4607571214605528</v>
      </c>
      <c r="F20" s="1" t="e">
        <f t="shared" si="3"/>
        <v>#DIV/0!</v>
      </c>
      <c r="G20" s="1">
        <f t="shared" si="0"/>
        <v>90.73538743566242</v>
      </c>
      <c r="H20" s="1">
        <f t="shared" si="2"/>
        <v>-2573.8</v>
      </c>
      <c r="I20" s="1">
        <f t="shared" si="1"/>
        <v>262.7999999999997</v>
      </c>
    </row>
    <row r="21" spans="1:9" ht="18">
      <c r="A21" s="29" t="s">
        <v>0</v>
      </c>
      <c r="B21" s="49"/>
      <c r="C21" s="50">
        <f>19349.6+4-99.9</f>
        <v>19253.699999999997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+234.6+137.4+63.2+128.5+0.1</f>
        <v>12479.199999999999</v>
      </c>
      <c r="E21" s="1">
        <f>D21/D17*100</f>
        <v>7.082555082030666</v>
      </c>
      <c r="F21" s="1" t="e">
        <f t="shared" si="3"/>
        <v>#DIV/0!</v>
      </c>
      <c r="G21" s="1">
        <f t="shared" si="0"/>
        <v>64.81455512446959</v>
      </c>
      <c r="H21" s="1">
        <f t="shared" si="2"/>
        <v>-12479.199999999999</v>
      </c>
      <c r="I21" s="1">
        <f t="shared" si="1"/>
        <v>6774.499999999998</v>
      </c>
    </row>
    <row r="22" spans="1:9" ht="18">
      <c r="A22" s="29" t="s">
        <v>15</v>
      </c>
      <c r="B22" s="49"/>
      <c r="C22" s="50">
        <f>1388.5-4+10.9+8.1+815</f>
        <v>2218.5</v>
      </c>
      <c r="D22" s="51">
        <f>14.2+80.1+19.7+105+3.5+1.3+30+84.1+0.1+72.2+54.8+15.1+59.3+59.3+8.9+52.2+1.2+36.9+21.6+108.1+114.2+52.3+53.9+3.6+52.3+56.5+0.1-0.1+52.3+57.1</f>
        <v>1269.7999999999997</v>
      </c>
      <c r="E22" s="1">
        <f>D22/D17*100</f>
        <v>0.7206734761172622</v>
      </c>
      <c r="F22" s="1" t="e">
        <f t="shared" si="3"/>
        <v>#DIV/0!</v>
      </c>
      <c r="G22" s="1">
        <f t="shared" si="0"/>
        <v>57.23687176019831</v>
      </c>
      <c r="H22" s="1">
        <f t="shared" si="2"/>
        <v>-1269.7999999999997</v>
      </c>
      <c r="I22" s="1">
        <f t="shared" si="1"/>
        <v>948.7000000000003</v>
      </c>
    </row>
    <row r="23" spans="1:9" ht="18.75" thickBot="1">
      <c r="A23" s="29" t="s">
        <v>35</v>
      </c>
      <c r="B23" s="50">
        <f>B17-B18-B19-B20-B21-B22</f>
        <v>0</v>
      </c>
      <c r="C23" s="50">
        <f>C17-C18-C19-C20-C21-C22</f>
        <v>11601.000000000007</v>
      </c>
      <c r="D23" s="50">
        <f>D17-D18-D19-D20-D21-D22</f>
        <v>11282.400000000021</v>
      </c>
      <c r="E23" s="1">
        <f>D23/D17*100</f>
        <v>6.403312668881253</v>
      </c>
      <c r="F23" s="1" t="e">
        <f t="shared" si="3"/>
        <v>#DIV/0!</v>
      </c>
      <c r="G23" s="1">
        <f t="shared" si="0"/>
        <v>97.25368502715295</v>
      </c>
      <c r="H23" s="1">
        <f t="shared" si="2"/>
        <v>-11282.400000000021</v>
      </c>
      <c r="I23" s="1">
        <f t="shared" si="1"/>
        <v>318.5999999999858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/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+77.9+551.7+0.5+142.8+26.6-3.1+45.1+2+2.2+55.4+226.9+861.6-0.1+5.1+16.2+80+118</f>
        <v>33037.99999999999</v>
      </c>
      <c r="E31" s="3">
        <f>D31/D137*100</f>
        <v>5.77205457975702</v>
      </c>
      <c r="F31" s="3" t="e">
        <f>D31/B31*100</f>
        <v>#DIV/0!</v>
      </c>
      <c r="G31" s="3">
        <f t="shared" si="0"/>
        <v>89.95978249326755</v>
      </c>
      <c r="H31" s="3">
        <f t="shared" si="2"/>
        <v>-33037.99999999999</v>
      </c>
      <c r="I31" s="3">
        <f t="shared" si="1"/>
        <v>3687.30000000001</v>
      </c>
    </row>
    <row r="32" spans="1:9" ht="18">
      <c r="A32" s="29" t="s">
        <v>3</v>
      </c>
      <c r="B32" s="49"/>
      <c r="C32" s="50">
        <f>28976.1-761.1+77.4-360+12.1</f>
        <v>27944.5</v>
      </c>
      <c r="D32" s="51">
        <f>1119.5+1121.1+1039.4+104.2+1079.5+1133.4+1048+1163.9+1081.6+1130.3+1238-0.1+13.4+4.1+3118.3+55.1+2433-70.8+488+299.2+413.9+849.2+1170.6+1086.2+1141.9+47.1+1084.4+714.2+77.9+431.7+55.4+189.4+821.6+0.1</f>
        <v>25682.700000000004</v>
      </c>
      <c r="E32" s="1">
        <f>D32/D31*100</f>
        <v>77.73684847751078</v>
      </c>
      <c r="F32" s="1" t="e">
        <f t="shared" si="3"/>
        <v>#DIV/0!</v>
      </c>
      <c r="G32" s="1">
        <f t="shared" si="0"/>
        <v>91.90609959025929</v>
      </c>
      <c r="H32" s="1">
        <f t="shared" si="2"/>
        <v>-25682.700000000004</v>
      </c>
      <c r="I32" s="1">
        <f t="shared" si="1"/>
        <v>2261.7999999999956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/>
      <c r="C34" s="50">
        <f>1732.8+0.4+2-11.1+1.7+21.1</f>
        <v>1746.9</v>
      </c>
      <c r="D34" s="51">
        <f>1+2.5+0.8+6+1.4+0.1+11.2+0.5+6.3-0.2+32.4+6.9+2.4+3.4+18.4+48+143.7+198.6+32.7+71.3+22.6+9.9+48+1.6+5.4+15.8+0.4+0.8+1.6+4.3+7.5-0.1+9.4+0.4+4.3-0.2+4.2+1.9+2.1+9.7+0.2+1+9.8+0.3+40-3.1+0.1+31.5+0.1+6.2</f>
        <v>823.0999999999998</v>
      </c>
      <c r="E34" s="1">
        <f>D34/D31*100</f>
        <v>2.491373569828682</v>
      </c>
      <c r="F34" s="1" t="e">
        <f t="shared" si="3"/>
        <v>#DIV/0!</v>
      </c>
      <c r="G34" s="1">
        <f t="shared" si="0"/>
        <v>47.11775144541758</v>
      </c>
      <c r="H34" s="1">
        <f t="shared" si="2"/>
        <v>-823.0999999999998</v>
      </c>
      <c r="I34" s="1">
        <f t="shared" si="1"/>
        <v>923.8000000000003</v>
      </c>
    </row>
    <row r="35" spans="1:9" s="44" customFormat="1" ht="18.75">
      <c r="A35" s="23" t="s">
        <v>7</v>
      </c>
      <c r="B35" s="58"/>
      <c r="C35" s="59">
        <f>715.3-279</f>
        <v>436.29999999999995</v>
      </c>
      <c r="D35" s="60">
        <f>38.5+5.5+3+4.5+22.1+25.5+8.2+45.3+17.5+1+24+2.2+10+60+29.8+5.1+15.7+15+5+20+7</f>
        <v>364.9</v>
      </c>
      <c r="E35" s="19">
        <f>D35/D31*100</f>
        <v>1.1044857436890856</v>
      </c>
      <c r="F35" s="19" t="e">
        <f t="shared" si="3"/>
        <v>#DIV/0!</v>
      </c>
      <c r="G35" s="19">
        <f t="shared" si="0"/>
        <v>83.63511345404538</v>
      </c>
      <c r="H35" s="19">
        <f t="shared" si="2"/>
        <v>-364.9</v>
      </c>
      <c r="I35" s="19">
        <f t="shared" si="1"/>
        <v>71.39999999999998</v>
      </c>
    </row>
    <row r="36" spans="1:9" ht="18">
      <c r="A36" s="29" t="s">
        <v>15</v>
      </c>
      <c r="B36" s="49"/>
      <c r="C36" s="50">
        <f>45.2-20+3</f>
        <v>28.200000000000003</v>
      </c>
      <c r="D36" s="50">
        <f>3.6+3.6+7.2+3.6+3.4+3.4</f>
        <v>24.799999999999997</v>
      </c>
      <c r="E36" s="1">
        <f>D36/D31*100</f>
        <v>0.07506507657848539</v>
      </c>
      <c r="F36" s="1" t="e">
        <f t="shared" si="3"/>
        <v>#DIV/0!</v>
      </c>
      <c r="G36" s="1">
        <f t="shared" si="0"/>
        <v>87.9432624113475</v>
      </c>
      <c r="H36" s="1">
        <f t="shared" si="2"/>
        <v>-24.799999999999997</v>
      </c>
      <c r="I36" s="1">
        <f t="shared" si="1"/>
        <v>3.4000000000000057</v>
      </c>
    </row>
    <row r="37" spans="1:9" ht="18.75" thickBot="1">
      <c r="A37" s="29" t="s">
        <v>35</v>
      </c>
      <c r="B37" s="49">
        <f>B31-B32-B34-B35-B33-B36</f>
        <v>0</v>
      </c>
      <c r="C37" s="49">
        <f>C31-C32-C34-C35-C33-C36</f>
        <v>6569.400000000003</v>
      </c>
      <c r="D37" s="49">
        <f>D31-D32-D34-D35-D33-D36</f>
        <v>6142.499999999989</v>
      </c>
      <c r="E37" s="1">
        <f>D37/D31*100</f>
        <v>18.592227132392974</v>
      </c>
      <c r="F37" s="1" t="e">
        <f t="shared" si="3"/>
        <v>#DIV/0!</v>
      </c>
      <c r="G37" s="1">
        <f t="shared" si="0"/>
        <v>93.5016896520228</v>
      </c>
      <c r="H37" s="1">
        <f>B37-D37</f>
        <v>-6142.499999999989</v>
      </c>
      <c r="I37" s="1">
        <f t="shared" si="1"/>
        <v>426.9000000000142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/>
      <c r="C41" s="53">
        <f>1079.9+40.7-300+6.6+2.2</f>
        <v>829.4000000000002</v>
      </c>
      <c r="D41" s="54">
        <f>39.9+10-0.1+63.8+32.1+23.9+51.2+20.3+38.8+26.2+1.3+95+24+3.6+45.4+22.4+25.7+10+0.1</f>
        <v>533.6</v>
      </c>
      <c r="E41" s="3">
        <f>D41/D137*100</f>
        <v>0.09322502342025385</v>
      </c>
      <c r="F41" s="3" t="e">
        <f>D41/B41*100</f>
        <v>#DIV/0!</v>
      </c>
      <c r="G41" s="3">
        <f t="shared" si="0"/>
        <v>64.33566433566432</v>
      </c>
      <c r="H41" s="3">
        <f t="shared" si="2"/>
        <v>-533.6</v>
      </c>
      <c r="I41" s="3">
        <f t="shared" si="1"/>
        <v>295.8000000000002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/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+205.1+5+314.1+0.1+5.3+5</f>
        <v>5334.100000000001</v>
      </c>
      <c r="E43" s="3">
        <f>D43/D137*100</f>
        <v>0.9319182860306899</v>
      </c>
      <c r="F43" s="3" t="e">
        <f>D43/B43*100</f>
        <v>#DIV/0!</v>
      </c>
      <c r="G43" s="3">
        <f aca="true" t="shared" si="4" ref="G43:G73">D43/C43*100</f>
        <v>87.36978313568763</v>
      </c>
      <c r="H43" s="3">
        <f>B43-D43</f>
        <v>-5334.100000000001</v>
      </c>
      <c r="I43" s="3">
        <f aca="true" t="shared" si="5" ref="I43:I74">C43-D43</f>
        <v>771.0999999999985</v>
      </c>
    </row>
    <row r="44" spans="1:9" ht="18">
      <c r="A44" s="29" t="s">
        <v>3</v>
      </c>
      <c r="B44" s="49"/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179.7+201.3+187+211.8+190.5+230.5+236.3+199.9+0.1+218.5+248.3+8.2+228.5-0.1+273.7+231.2+200.7+36.5+228.6+183.7-0.1+193.6+217.6+203.8+8.8+215.5+53.1+194.4+284.4</f>
        <v>4865.999999999999</v>
      </c>
      <c r="E44" s="1">
        <f>D44/D43*100</f>
        <v>91.22438649444139</v>
      </c>
      <c r="F44" s="1" t="e">
        <f aca="true" t="shared" si="6" ref="F44:F71">D44/B44*100</f>
        <v>#DIV/0!</v>
      </c>
      <c r="G44" s="1">
        <f t="shared" si="4"/>
        <v>90.79374556853377</v>
      </c>
      <c r="H44" s="1">
        <f aca="true" t="shared" si="7" ref="H44:H71">B44-D44</f>
        <v>-4865.999999999999</v>
      </c>
      <c r="I44" s="1">
        <f t="shared" si="5"/>
        <v>493.40000000000146</v>
      </c>
    </row>
    <row r="45" spans="1:9" ht="18">
      <c r="A45" s="29" t="s">
        <v>2</v>
      </c>
      <c r="B45" s="49"/>
      <c r="C45" s="50">
        <v>1</v>
      </c>
      <c r="D45" s="51">
        <f>0.3+0.5+0.2</f>
        <v>1</v>
      </c>
      <c r="E45" s="1">
        <f>D45/D43*100</f>
        <v>0.01874730507489548</v>
      </c>
      <c r="F45" s="1" t="e">
        <f t="shared" si="6"/>
        <v>#DIV/0!</v>
      </c>
      <c r="G45" s="1">
        <f t="shared" si="4"/>
        <v>100</v>
      </c>
      <c r="H45" s="1">
        <f t="shared" si="7"/>
        <v>-1</v>
      </c>
      <c r="I45" s="1">
        <f t="shared" si="5"/>
        <v>0</v>
      </c>
    </row>
    <row r="46" spans="1:9" ht="18">
      <c r="A46" s="29" t="s">
        <v>1</v>
      </c>
      <c r="B46" s="49"/>
      <c r="C46" s="50">
        <f>35.1+9.9</f>
        <v>45</v>
      </c>
      <c r="D46" s="51">
        <f>3.2+3.4-0.1+3.7+3.6+3.5+3.2+5.6+1.4+3.7</f>
        <v>31.199999999999992</v>
      </c>
      <c r="E46" s="1">
        <f>D46/D43*100</f>
        <v>0.5849159183367387</v>
      </c>
      <c r="F46" s="1" t="e">
        <f t="shared" si="6"/>
        <v>#DIV/0!</v>
      </c>
      <c r="G46" s="1">
        <f t="shared" si="4"/>
        <v>69.33333333333331</v>
      </c>
      <c r="H46" s="1">
        <f t="shared" si="7"/>
        <v>-31.199999999999992</v>
      </c>
      <c r="I46" s="1">
        <f t="shared" si="5"/>
        <v>13.800000000000008</v>
      </c>
    </row>
    <row r="47" spans="1:9" ht="18">
      <c r="A47" s="29" t="s">
        <v>0</v>
      </c>
      <c r="B47" s="49"/>
      <c r="C47" s="50">
        <f>358+23.1+0.1</f>
        <v>381.20000000000005</v>
      </c>
      <c r="D47" s="51">
        <f>23.1+2.7+0.5+0.4+5.2+0.6+99.9+12.6+20.5-0.1+2+19.6+1.1+0.5+4.4+0.4+3.4+4+2.3+0.3+1.3+0.1+0.3+0.5+5.1+9.3+21</f>
        <v>241.00000000000006</v>
      </c>
      <c r="E47" s="1">
        <f>D47/D43*100</f>
        <v>4.518100523049812</v>
      </c>
      <c r="F47" s="1" t="e">
        <f t="shared" si="6"/>
        <v>#DIV/0!</v>
      </c>
      <c r="G47" s="1">
        <f t="shared" si="4"/>
        <v>63.22140608604408</v>
      </c>
      <c r="H47" s="1">
        <f t="shared" si="7"/>
        <v>-241.00000000000006</v>
      </c>
      <c r="I47" s="1">
        <f t="shared" si="5"/>
        <v>140.2</v>
      </c>
    </row>
    <row r="48" spans="1:9" ht="18.75" thickBot="1">
      <c r="A48" s="29" t="s">
        <v>35</v>
      </c>
      <c r="B48" s="50">
        <f>B43-B44-B47-B46-B45</f>
        <v>0</v>
      </c>
      <c r="C48" s="50">
        <f>C43-C44-C47-C46-C45</f>
        <v>318.5999999999992</v>
      </c>
      <c r="D48" s="50">
        <f>D43-D44-D47-D46-D45</f>
        <v>194.90000000000214</v>
      </c>
      <c r="E48" s="1">
        <f>D48/D43*100</f>
        <v>3.6538497590971692</v>
      </c>
      <c r="F48" s="1" t="e">
        <f t="shared" si="6"/>
        <v>#DIV/0!</v>
      </c>
      <c r="G48" s="1">
        <f t="shared" si="4"/>
        <v>61.17388575015775</v>
      </c>
      <c r="H48" s="1">
        <f t="shared" si="7"/>
        <v>-194.90000000000214</v>
      </c>
      <c r="I48" s="1">
        <f t="shared" si="5"/>
        <v>123.69999999999709</v>
      </c>
    </row>
    <row r="49" spans="1:9" ht="18.75" thickBot="1">
      <c r="A49" s="28" t="s">
        <v>4</v>
      </c>
      <c r="B49" s="52"/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+11.3+269.9+28.5+39.7+30+28.8+11+29+528.4+0.1+27.2+27.7</f>
        <v>10502.200000000003</v>
      </c>
      <c r="E49" s="3">
        <f>D49/D137*100</f>
        <v>1.834834784415649</v>
      </c>
      <c r="F49" s="3" t="e">
        <f>D49/B49*100</f>
        <v>#DIV/0!</v>
      </c>
      <c r="G49" s="3">
        <f t="shared" si="4"/>
        <v>86.50763578853729</v>
      </c>
      <c r="H49" s="3">
        <f>B49-D49</f>
        <v>-10502.200000000003</v>
      </c>
      <c r="I49" s="3">
        <f t="shared" si="5"/>
        <v>1637.9999999999964</v>
      </c>
    </row>
    <row r="50" spans="1:9" ht="18">
      <c r="A50" s="29" t="s">
        <v>3</v>
      </c>
      <c r="B50" s="49"/>
      <c r="C50" s="50">
        <f>7727-234.9+143</f>
        <v>7635.1</v>
      </c>
      <c r="D50" s="51">
        <f>282.8+343.5+279.8+360.5+269.9+364.8-0.1+7.2+231.6+28.9+358.6+269.6+381.2-0.1+7.2+297.2+563.3+0.1+313.9+22.4+240.9+0.1+181.6+201.2+250.5+390.2-0.1+273+392.4+11.3+269.9+29+388.3+0.1</f>
        <v>7010.699999999999</v>
      </c>
      <c r="E50" s="1">
        <f>D50/D49*100</f>
        <v>66.75458475367063</v>
      </c>
      <c r="F50" s="1" t="e">
        <f t="shared" si="6"/>
        <v>#DIV/0!</v>
      </c>
      <c r="G50" s="1">
        <f t="shared" si="4"/>
        <v>91.82198006574896</v>
      </c>
      <c r="H50" s="1">
        <f t="shared" si="7"/>
        <v>-7010.699999999999</v>
      </c>
      <c r="I50" s="1">
        <f t="shared" si="5"/>
        <v>624.4000000000015</v>
      </c>
    </row>
    <row r="51" spans="1:9" ht="18">
      <c r="A51" s="29" t="s">
        <v>2</v>
      </c>
      <c r="B51" s="49"/>
      <c r="C51" s="50">
        <v>9.7</v>
      </c>
      <c r="D51" s="51">
        <f>0.5+0.8+0.8+2.2+2.5</f>
        <v>6.800000000000001</v>
      </c>
      <c r="E51" s="12">
        <f>D51/D49*100</f>
        <v>0.06474833844337376</v>
      </c>
      <c r="F51" s="1" t="e">
        <f t="shared" si="6"/>
        <v>#DIV/0!</v>
      </c>
      <c r="G51" s="1">
        <f t="shared" si="4"/>
        <v>70.10309278350518</v>
      </c>
      <c r="H51" s="1">
        <f t="shared" si="7"/>
        <v>-6.800000000000001</v>
      </c>
      <c r="I51" s="1">
        <f t="shared" si="5"/>
        <v>2.8999999999999986</v>
      </c>
    </row>
    <row r="52" spans="1:9" ht="18">
      <c r="A52" s="29" t="s">
        <v>1</v>
      </c>
      <c r="B52" s="49"/>
      <c r="C52" s="50">
        <f>325-2</f>
        <v>323</v>
      </c>
      <c r="D52" s="51">
        <f>2.4+4.2+4.2+8.7+3.1+5.2-0.1+2.3+6.7+7.1+0.1+3.9+3.5+21.5+2.5-0.1+4.3+17.5+11.1+0.7-0.1+5.1+1.5+0.9+0.1+4.4+2.8+10.2+1.2+17.9+18.8+17.8+4+2.7</f>
        <v>196.10000000000002</v>
      </c>
      <c r="E52" s="1">
        <f>D52/D49*100</f>
        <v>1.8672278189331755</v>
      </c>
      <c r="F52" s="1" t="e">
        <f t="shared" si="6"/>
        <v>#DIV/0!</v>
      </c>
      <c r="G52" s="1">
        <f t="shared" si="4"/>
        <v>60.712074303405586</v>
      </c>
      <c r="H52" s="1">
        <f t="shared" si="7"/>
        <v>-196.10000000000002</v>
      </c>
      <c r="I52" s="1">
        <f t="shared" si="5"/>
        <v>126.89999999999998</v>
      </c>
    </row>
    <row r="53" spans="1:9" ht="18">
      <c r="A53" s="29" t="s">
        <v>0</v>
      </c>
      <c r="B53" s="49"/>
      <c r="C53" s="50">
        <f>534.1-3+2+6</f>
        <v>539.1</v>
      </c>
      <c r="D53" s="51">
        <f>6+11+5+10.4+0.1+20.8+16+0.1+76.5+39.2+7.7+0.3+8.1+0.1+0.2+12-0.1+0.1+4.7+0.1+6.4+2.7+8.2+0.3+5.7+1.7+0.9+0.1+5.2+0.5+0.2+3+0.1-0.1+0.5+6.4+7.8+9.6+6.9+0.1</f>
        <v>284.4999999999999</v>
      </c>
      <c r="E53" s="1">
        <f>D53/D49*100</f>
        <v>2.708956218697033</v>
      </c>
      <c r="F53" s="1" t="e">
        <f t="shared" si="6"/>
        <v>#DIV/0!</v>
      </c>
      <c r="G53" s="1">
        <f t="shared" si="4"/>
        <v>52.77314041921719</v>
      </c>
      <c r="H53" s="1">
        <f t="shared" si="7"/>
        <v>-284.4999999999999</v>
      </c>
      <c r="I53" s="1">
        <f t="shared" si="5"/>
        <v>254.60000000000014</v>
      </c>
    </row>
    <row r="54" spans="1:9" ht="18.75" thickBot="1">
      <c r="A54" s="29" t="s">
        <v>35</v>
      </c>
      <c r="B54" s="50">
        <f>B49-B50-B53-B52-B51</f>
        <v>0</v>
      </c>
      <c r="C54" s="50">
        <f>C49-C50-C53-C52-C51</f>
        <v>3633.299999999999</v>
      </c>
      <c r="D54" s="50">
        <f>D49-D50-D53-D52-D51</f>
        <v>3004.1000000000035</v>
      </c>
      <c r="E54" s="1">
        <f>D54/D49*100</f>
        <v>28.604482870255783</v>
      </c>
      <c r="F54" s="1" t="e">
        <f t="shared" si="6"/>
        <v>#DIV/0!</v>
      </c>
      <c r="G54" s="1">
        <f t="shared" si="4"/>
        <v>82.68240993036646</v>
      </c>
      <c r="H54" s="1">
        <f t="shared" si="7"/>
        <v>-3004.1000000000035</v>
      </c>
      <c r="I54" s="1">
        <f>C54-D54</f>
        <v>629.1999999999953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/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+45.6+5.3+0.6+4.9+74.4+1.2</f>
        <v>2818.3000000000006</v>
      </c>
      <c r="E56" s="3">
        <f>D56/D137*100</f>
        <v>0.49238396459014516</v>
      </c>
      <c r="F56" s="3" t="e">
        <f>D56/B56*100</f>
        <v>#DIV/0!</v>
      </c>
      <c r="G56" s="3">
        <f t="shared" si="4"/>
        <v>90.76650563607087</v>
      </c>
      <c r="H56" s="3">
        <f>B56-D56</f>
        <v>-2818.3000000000006</v>
      </c>
      <c r="I56" s="3">
        <f t="shared" si="5"/>
        <v>286.69999999999936</v>
      </c>
    </row>
    <row r="57" spans="1:9" ht="18">
      <c r="A57" s="29" t="s">
        <v>3</v>
      </c>
      <c r="B57" s="49"/>
      <c r="C57" s="50">
        <f>2589.6-887.6+7.9+86.2</f>
        <v>1796.1000000000001</v>
      </c>
      <c r="D57" s="51">
        <f>128-60.9+102.5+75.2+87.9+68.6+30+93+68.5+96.9-0.1+67+116.4+112.6+49.7+83+52.4+24.4+26.2+0.2+55.4+42.6+44.2+67.6+0.1+42.3+79.3+45.6+74.4-0.1</f>
        <v>1672.9</v>
      </c>
      <c r="E57" s="1">
        <f>D57/D56*100</f>
        <v>59.35847851541709</v>
      </c>
      <c r="F57" s="1" t="e">
        <f t="shared" si="6"/>
        <v>#DIV/0!</v>
      </c>
      <c r="G57" s="1">
        <f t="shared" si="4"/>
        <v>93.14069372529369</v>
      </c>
      <c r="H57" s="1">
        <f t="shared" si="7"/>
        <v>-1672.9</v>
      </c>
      <c r="I57" s="1">
        <f t="shared" si="5"/>
        <v>123.20000000000005</v>
      </c>
    </row>
    <row r="58" spans="1:9" ht="18">
      <c r="A58" s="29" t="s">
        <v>1</v>
      </c>
      <c r="B58" s="49"/>
      <c r="C58" s="50">
        <f>188.9-7.5</f>
        <v>181.4</v>
      </c>
      <c r="D58" s="51">
        <f>33+49+35+64.4</f>
        <v>181.4</v>
      </c>
      <c r="E58" s="1">
        <f>D58/D56*100</f>
        <v>6.43650427562715</v>
      </c>
      <c r="F58" s="1" t="e">
        <f t="shared" si="6"/>
        <v>#DIV/0!</v>
      </c>
      <c r="G58" s="1">
        <f t="shared" si="4"/>
        <v>100</v>
      </c>
      <c r="H58" s="1">
        <f t="shared" si="7"/>
        <v>-181.4</v>
      </c>
      <c r="I58" s="1">
        <f t="shared" si="5"/>
        <v>0</v>
      </c>
    </row>
    <row r="59" spans="1:9" ht="18">
      <c r="A59" s="29" t="s">
        <v>0</v>
      </c>
      <c r="B59" s="49"/>
      <c r="C59" s="50">
        <f>297.4-9.5</f>
        <v>287.9</v>
      </c>
      <c r="D59" s="51">
        <f>4.5+4.5+30.5+35.2+10+24.5+10.2+0.1+1.9+1.8+3+1.2+0.9+0.8+1.4+0.5+1.9+5.3+4.6</f>
        <v>142.80000000000004</v>
      </c>
      <c r="E59" s="1">
        <f>D59/D56*100</f>
        <v>5.066884291949048</v>
      </c>
      <c r="F59" s="1" t="e">
        <f t="shared" si="6"/>
        <v>#DIV/0!</v>
      </c>
      <c r="G59" s="1">
        <f t="shared" si="4"/>
        <v>49.60055574852381</v>
      </c>
      <c r="H59" s="1">
        <f t="shared" si="7"/>
        <v>-142.80000000000004</v>
      </c>
      <c r="I59" s="1">
        <f t="shared" si="5"/>
        <v>145.09999999999994</v>
      </c>
    </row>
    <row r="60" spans="1:9" ht="18">
      <c r="A60" s="29" t="s">
        <v>15</v>
      </c>
      <c r="B60" s="49"/>
      <c r="C60" s="50">
        <f>728.7-0.4</f>
        <v>728.3000000000001</v>
      </c>
      <c r="D60" s="51">
        <f>238+257+58.9+143.6+30.7+0.1</f>
        <v>728.3000000000001</v>
      </c>
      <c r="E60" s="1">
        <f>D60/D56*100</f>
        <v>25.841819536600074</v>
      </c>
      <c r="F60" s="1" t="e">
        <f t="shared" si="6"/>
        <v>#DIV/0!</v>
      </c>
      <c r="G60" s="1">
        <f t="shared" si="4"/>
        <v>100</v>
      </c>
      <c r="H60" s="1">
        <f t="shared" si="7"/>
        <v>-728.3000000000001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0</v>
      </c>
      <c r="C61" s="50">
        <f>C56-C57-C59-C60-C58</f>
        <v>111.29999999999981</v>
      </c>
      <c r="D61" s="50">
        <f>D56-D57-D59-D60-D58</f>
        <v>92.9000000000004</v>
      </c>
      <c r="E61" s="1">
        <f>D61/D56*100</f>
        <v>3.296313380406642</v>
      </c>
      <c r="F61" s="1" t="e">
        <f t="shared" si="6"/>
        <v>#DIV/0!</v>
      </c>
      <c r="G61" s="1">
        <f t="shared" si="4"/>
        <v>83.46810422282171</v>
      </c>
      <c r="H61" s="1">
        <f t="shared" si="7"/>
        <v>-92.9000000000004</v>
      </c>
      <c r="I61" s="1">
        <f t="shared" si="5"/>
        <v>18.39999999999941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0</v>
      </c>
      <c r="C66" s="53">
        <f>C67+C68</f>
        <v>350.29999999999995</v>
      </c>
      <c r="D66" s="54">
        <f>SUM(D67:D68)</f>
        <v>1.4</v>
      </c>
      <c r="E66" s="42">
        <f>D66/D137*100</f>
        <v>0.0002445933897832747</v>
      </c>
      <c r="F66" s="113" t="e">
        <f>D66/B66*100</f>
        <v>#DIV/0!</v>
      </c>
      <c r="G66" s="3">
        <f t="shared" si="4"/>
        <v>0.3996574364830146</v>
      </c>
      <c r="H66" s="3">
        <f>B66-D66</f>
        <v>-1.4</v>
      </c>
      <c r="I66" s="3">
        <f t="shared" si="5"/>
        <v>348.9</v>
      </c>
    </row>
    <row r="67" spans="1:9" ht="18">
      <c r="A67" s="29" t="s">
        <v>8</v>
      </c>
      <c r="B67" s="49"/>
      <c r="C67" s="50">
        <f>257.4+70.7-6.4</f>
        <v>321.7</v>
      </c>
      <c r="D67" s="51">
        <f>1.4</f>
        <v>1.4</v>
      </c>
      <c r="E67" s="1"/>
      <c r="F67" s="1" t="e">
        <f t="shared" si="6"/>
        <v>#DIV/0!</v>
      </c>
      <c r="G67" s="1">
        <f t="shared" si="4"/>
        <v>0.4351880634131178</v>
      </c>
      <c r="H67" s="1">
        <f t="shared" si="7"/>
        <v>-1.4</v>
      </c>
      <c r="I67" s="1">
        <f t="shared" si="5"/>
        <v>320.3</v>
      </c>
    </row>
    <row r="68" spans="1:9" ht="18.75" thickBot="1">
      <c r="A68" s="29" t="s">
        <v>9</v>
      </c>
      <c r="B68" s="49"/>
      <c r="C68" s="50">
        <f>202.6-17.6-66.7-70.7-4.6-14.5+0.1</f>
        <v>28.599999999999994</v>
      </c>
      <c r="D68" s="51"/>
      <c r="E68" s="1"/>
      <c r="F68" s="1" t="e">
        <f t="shared" si="6"/>
        <v>#DIV/0!</v>
      </c>
      <c r="G68" s="1">
        <f t="shared" si="4"/>
        <v>0</v>
      </c>
      <c r="H68" s="1">
        <f t="shared" si="7"/>
        <v>0</v>
      </c>
      <c r="I68" s="1">
        <f t="shared" si="5"/>
        <v>28.599999999999994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/>
      <c r="C74" s="69">
        <v>400</v>
      </c>
      <c r="D74" s="70"/>
      <c r="E74" s="48"/>
      <c r="F74" s="48"/>
      <c r="G74" s="48"/>
      <c r="H74" s="48">
        <f>B74-D74</f>
        <v>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/>
      <c r="C87" s="53">
        <f>44816.4+146.6-881.6-177.9</f>
        <v>43903.5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+855.5+390.1+37.5+16.6+69+675.8+161.3+802-0.1+26.8+180.3+3.7+1.2</f>
        <v>38757.30000000001</v>
      </c>
      <c r="E87" s="3">
        <f>D87/D137*100</f>
        <v>6.7712709898909385</v>
      </c>
      <c r="F87" s="3" t="e">
        <f aca="true" t="shared" si="10" ref="F87:F92">D87/B87*100</f>
        <v>#DIV/0!</v>
      </c>
      <c r="G87" s="3">
        <f t="shared" si="8"/>
        <v>88.27838327240427</v>
      </c>
      <c r="H87" s="3">
        <f aca="true" t="shared" si="11" ref="H87:H92">B87-D87</f>
        <v>-38757.30000000001</v>
      </c>
      <c r="I87" s="3">
        <f t="shared" si="9"/>
        <v>5146.19999999999</v>
      </c>
    </row>
    <row r="88" spans="1:9" ht="18">
      <c r="A88" s="29" t="s">
        <v>3</v>
      </c>
      <c r="B88" s="49"/>
      <c r="C88" s="50">
        <f>38623.9-611.6-765.9-268+22.1-79.5</f>
        <v>36921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+849.3+369.5+7.5+613.7+161.3+782.3+3.5+1.1</f>
        <v>33493.2</v>
      </c>
      <c r="E88" s="1">
        <f>D88/D87*100</f>
        <v>86.41778452059351</v>
      </c>
      <c r="F88" s="1" t="e">
        <f t="shared" si="10"/>
        <v>#DIV/0!</v>
      </c>
      <c r="G88" s="1">
        <f t="shared" si="8"/>
        <v>90.71585276671811</v>
      </c>
      <c r="H88" s="1">
        <f t="shared" si="11"/>
        <v>-33493.2</v>
      </c>
      <c r="I88" s="1">
        <f t="shared" si="9"/>
        <v>3427.800000000003</v>
      </c>
    </row>
    <row r="89" spans="1:9" ht="18">
      <c r="A89" s="29" t="s">
        <v>33</v>
      </c>
      <c r="B89" s="49"/>
      <c r="C89" s="50">
        <f>1866.3+51.3-87.4+169.5-22.1</f>
        <v>1977.6</v>
      </c>
      <c r="D89" s="51">
        <f>125+55.5+51.3+1.7-0.1+10.4+5.3+280.6+162.7+2.2+25.3+117.8+56.8+64.4+1.4+31+7.8+37.2+1.9+36.4+8.8+1+3.9+10.1+30.1+1.8+10.7+4.2+23.3+14.3+12.2+6+2.6+0.2+2.5+21.4+6.2+3.4+12+4.7+9.2+0.3</f>
        <v>1263.5000000000002</v>
      </c>
      <c r="E89" s="1">
        <f>D89/D87*100</f>
        <v>3.2600310135122927</v>
      </c>
      <c r="F89" s="1" t="e">
        <f t="shared" si="10"/>
        <v>#DIV/0!</v>
      </c>
      <c r="G89" s="1">
        <f t="shared" si="8"/>
        <v>63.89057443365698</v>
      </c>
      <c r="H89" s="1">
        <f t="shared" si="11"/>
        <v>-1263.5000000000002</v>
      </c>
      <c r="I89" s="1">
        <f t="shared" si="9"/>
        <v>714.0999999999997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0</v>
      </c>
      <c r="C91" s="50">
        <f>C87-C88-C89-C90</f>
        <v>5004.9</v>
      </c>
      <c r="D91" s="50">
        <f>D87-D88-D89-D90</f>
        <v>4000.600000000013</v>
      </c>
      <c r="E91" s="1">
        <f>D91/D87*100</f>
        <v>10.322184465894198</v>
      </c>
      <c r="F91" s="1" t="e">
        <f t="shared" si="10"/>
        <v>#DIV/0!</v>
      </c>
      <c r="G91" s="1">
        <f>D91/C91*100</f>
        <v>79.93366500829214</v>
      </c>
      <c r="H91" s="1">
        <f t="shared" si="11"/>
        <v>-4000.600000000013</v>
      </c>
      <c r="I91" s="1">
        <f>C91-D91</f>
        <v>1004.2999999999865</v>
      </c>
    </row>
    <row r="92" spans="1:9" ht="19.5" thickBot="1">
      <c r="A92" s="14" t="s">
        <v>12</v>
      </c>
      <c r="B92" s="61"/>
      <c r="C92" s="72">
        <f>39290.3+3989.1-27-360-200</f>
        <v>42692.4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+412+200+80.4+300+100+130+90+250+250+108.8+200+450+100</f>
        <v>33147.8</v>
      </c>
      <c r="E92" s="3">
        <f>D92/D137*100</f>
        <v>5.791237689898596</v>
      </c>
      <c r="F92" s="3" t="e">
        <f t="shared" si="10"/>
        <v>#DIV/0!</v>
      </c>
      <c r="G92" s="3">
        <f>D92/C92*100</f>
        <v>77.64332761803038</v>
      </c>
      <c r="H92" s="3">
        <f t="shared" si="11"/>
        <v>-33147.8</v>
      </c>
      <c r="I92" s="3">
        <f>C92-D92</f>
        <v>9544.599999999999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/>
      <c r="C98" s="106">
        <f>5290.2+873.6+17.6+66.7+358-2.2-0.1</f>
        <v>6603.8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+66+86.5+39+11.5+26.6+22.8</f>
        <v>4891.299999999998</v>
      </c>
      <c r="E98" s="25">
        <f>D98/D137*100</f>
        <v>0.8545568910335222</v>
      </c>
      <c r="F98" s="25" t="e">
        <f>D98/B98*100</f>
        <v>#DIV/0!</v>
      </c>
      <c r="G98" s="25">
        <f aca="true" t="shared" si="12" ref="G98:G135">D98/C98*100</f>
        <v>74.06796087101363</v>
      </c>
      <c r="H98" s="25">
        <f aca="true" t="shared" si="13" ref="H98:H103">B98-D98</f>
        <v>-4891.299999999998</v>
      </c>
      <c r="I98" s="25">
        <f aca="true" t="shared" si="14" ref="I98:I135">C98-D98</f>
        <v>1712.5000000000018</v>
      </c>
    </row>
    <row r="99" spans="1:9" ht="18">
      <c r="A99" s="92" t="s">
        <v>66</v>
      </c>
      <c r="B99" s="102"/>
      <c r="C99" s="100">
        <f>23.5-2.3-6</f>
        <v>15.2</v>
      </c>
      <c r="D99" s="100">
        <f>12.7+2.5</f>
        <v>15.2</v>
      </c>
      <c r="E99" s="96">
        <f>D99/D98*100</f>
        <v>0.3107558317829617</v>
      </c>
      <c r="F99" s="1" t="e">
        <f>D99/B99*100</f>
        <v>#DIV/0!</v>
      </c>
      <c r="G99" s="96">
        <f>D99/C99*100</f>
        <v>100</v>
      </c>
      <c r="H99" s="96">
        <f t="shared" si="13"/>
        <v>-15.2</v>
      </c>
      <c r="I99" s="96">
        <f t="shared" si="14"/>
        <v>0</v>
      </c>
    </row>
    <row r="100" spans="1:9" ht="18">
      <c r="A100" s="98" t="s">
        <v>65</v>
      </c>
      <c r="B100" s="82"/>
      <c r="C100" s="51">
        <f>5711.4+17.6+66.7-0.6-0.1+354.8-2.2</f>
        <v>6147.599999999999</v>
      </c>
      <c r="D100" s="51">
        <f>3302.1+5.1+16.7+151+216.3+17.4+13.8+53.7+7.6+119.5+15.5+6.4+75+28.9+153.8+9.3+9.1+11.7+14.3+26.2+6.6+3.9+0.2+30.1+4+24.7+24.8+86.2+20.4+20.1</f>
        <v>4474.400000000001</v>
      </c>
      <c r="E100" s="1">
        <f>D100/D98*100</f>
        <v>91.47670353484763</v>
      </c>
      <c r="F100" s="1" t="e">
        <f aca="true" t="shared" si="15" ref="F100:F135">D100/B100*100</f>
        <v>#DIV/0!</v>
      </c>
      <c r="G100" s="1">
        <f t="shared" si="12"/>
        <v>72.78287461773701</v>
      </c>
      <c r="H100" s="1">
        <f t="shared" si="13"/>
        <v>-4474.400000000001</v>
      </c>
      <c r="I100" s="1">
        <f t="shared" si="14"/>
        <v>1673.199999999999</v>
      </c>
    </row>
    <row r="101" spans="1:9" ht="54.75" thickBot="1">
      <c r="A101" s="99" t="s">
        <v>107</v>
      </c>
      <c r="B101" s="101"/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4.925071044507598</v>
      </c>
      <c r="F101" s="97" t="e">
        <f>D101/B101*100</f>
        <v>#DIV/0!</v>
      </c>
      <c r="G101" s="97">
        <f>D101/C101*100</f>
        <v>52.35818300369486</v>
      </c>
      <c r="H101" s="97">
        <f t="shared" si="13"/>
        <v>-240.90000000000003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0</v>
      </c>
      <c r="C102" s="101">
        <f>C98-C99-C100</f>
        <v>441.0000000000009</v>
      </c>
      <c r="D102" s="101">
        <f>D98-D99-D100</f>
        <v>401.699999999998</v>
      </c>
      <c r="E102" s="97">
        <f>D102/D98*100</f>
        <v>8.212540633369414</v>
      </c>
      <c r="F102" s="97" t="e">
        <f t="shared" si="15"/>
        <v>#DIV/0!</v>
      </c>
      <c r="G102" s="97">
        <f t="shared" si="12"/>
        <v>91.08843537414903</v>
      </c>
      <c r="H102" s="97">
        <f>B102-D102</f>
        <v>-401.699999999998</v>
      </c>
      <c r="I102" s="97">
        <f t="shared" si="14"/>
        <v>39.30000000000291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0</v>
      </c>
      <c r="C103" s="94">
        <f>SUM(C104:C134)-C111-C115+C135-C130-C131-C105-C108-C118-C119</f>
        <v>17168.199999999997</v>
      </c>
      <c r="D103" s="94">
        <f>SUM(D104:D134)-D111-D115+D135-D130-D131-D105-D108-D118-D119</f>
        <v>13370.099999999999</v>
      </c>
      <c r="E103" s="95">
        <f>D103/D137*100</f>
        <v>2.3358843433866863</v>
      </c>
      <c r="F103" s="95" t="e">
        <f>D103/B103*100</f>
        <v>#DIV/0!</v>
      </c>
      <c r="G103" s="95">
        <f t="shared" si="12"/>
        <v>77.87712165515313</v>
      </c>
      <c r="H103" s="95">
        <f t="shared" si="13"/>
        <v>-13370.099999999999</v>
      </c>
      <c r="I103" s="95">
        <f t="shared" si="14"/>
        <v>3798.0999999999985</v>
      </c>
    </row>
    <row r="104" spans="1:9" ht="37.5">
      <c r="A104" s="34" t="s">
        <v>69</v>
      </c>
      <c r="B104" s="79"/>
      <c r="C104" s="75">
        <f>1869.9-400</f>
        <v>1469.9</v>
      </c>
      <c r="D104" s="80">
        <f>1.4+20.1+85.2+143.2+49+97.4+39.5+2.1+10+69.9+14+22.7+50+22.1+4.6+24.2+39.7+15.7+20</f>
        <v>730.8000000000002</v>
      </c>
      <c r="E104" s="6">
        <f>D104/D103*100</f>
        <v>5.465927704355242</v>
      </c>
      <c r="F104" s="6" t="e">
        <f t="shared" si="15"/>
        <v>#DIV/0!</v>
      </c>
      <c r="G104" s="6">
        <f t="shared" si="12"/>
        <v>49.7176678685625</v>
      </c>
      <c r="H104" s="6">
        <f aca="true" t="shared" si="16" ref="H104:H135">B104-D104</f>
        <v>-730.8000000000002</v>
      </c>
      <c r="I104" s="6">
        <f t="shared" si="14"/>
        <v>739.0999999999999</v>
      </c>
    </row>
    <row r="105" spans="1:9" ht="18">
      <c r="A105" s="29" t="s">
        <v>33</v>
      </c>
      <c r="B105" s="82"/>
      <c r="C105" s="51">
        <f>1242.6+0.7-337</f>
        <v>906.3</v>
      </c>
      <c r="D105" s="83">
        <f>1.4+85.2+143.2+49+2.1+10+14+22.7+19.6+15.7</f>
        <v>362.90000000000003</v>
      </c>
      <c r="E105" s="1"/>
      <c r="F105" s="1" t="e">
        <f t="shared" si="15"/>
        <v>#DIV/0!</v>
      </c>
      <c r="G105" s="1">
        <f t="shared" si="12"/>
        <v>40.04192872117401</v>
      </c>
      <c r="H105" s="1">
        <f t="shared" si="16"/>
        <v>-362.90000000000003</v>
      </c>
      <c r="I105" s="1">
        <f t="shared" si="14"/>
        <v>543.3999999999999</v>
      </c>
    </row>
    <row r="106" spans="1:9" ht="34.5" customHeight="1">
      <c r="A106" s="17" t="s">
        <v>106</v>
      </c>
      <c r="B106" s="81"/>
      <c r="C106" s="68">
        <v>857.5</v>
      </c>
      <c r="D106" s="80">
        <f>4.7+37.5+79.8+33.7-0.1</f>
        <v>155.6</v>
      </c>
      <c r="E106" s="6">
        <f>D106/D103*100</f>
        <v>1.1637908467401143</v>
      </c>
      <c r="F106" s="6" t="e">
        <f>D106/B106*100</f>
        <v>#DIV/0!</v>
      </c>
      <c r="G106" s="6">
        <f t="shared" si="12"/>
        <v>18.145772594752184</v>
      </c>
      <c r="H106" s="6">
        <f t="shared" si="16"/>
        <v>-155.6</v>
      </c>
      <c r="I106" s="6">
        <f t="shared" si="14"/>
        <v>701.9</v>
      </c>
    </row>
    <row r="107" spans="1:9" ht="34.5" customHeight="1">
      <c r="A107" s="17" t="s">
        <v>78</v>
      </c>
      <c r="B107" s="81"/>
      <c r="C107" s="68">
        <f>36.5+27</f>
        <v>63.5</v>
      </c>
      <c r="D107" s="80">
        <f>7.4</f>
        <v>7.4</v>
      </c>
      <c r="E107" s="6">
        <f>D107/D103*100</f>
        <v>0.05534737960075093</v>
      </c>
      <c r="F107" s="6" t="e">
        <f t="shared" si="15"/>
        <v>#DIV/0!</v>
      </c>
      <c r="G107" s="6">
        <f t="shared" si="12"/>
        <v>11.653543307086615</v>
      </c>
      <c r="H107" s="6">
        <f t="shared" si="16"/>
        <v>-7.4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/>
      <c r="C109" s="68">
        <v>75.5</v>
      </c>
      <c r="D109" s="80">
        <f>5.5+5.5+5.5-0.1+5.5+5.5+5.5+5.5-0.1+5.5+5.5-0.1+5.5+5.5</f>
        <v>60.199999999999996</v>
      </c>
      <c r="E109" s="6">
        <f>D109/D103*100</f>
        <v>0.45025841242773057</v>
      </c>
      <c r="F109" s="6" t="e">
        <f t="shared" si="15"/>
        <v>#DIV/0!</v>
      </c>
      <c r="G109" s="6">
        <f t="shared" si="12"/>
        <v>79.73509933774834</v>
      </c>
      <c r="H109" s="6">
        <f t="shared" si="16"/>
        <v>-60.199999999999996</v>
      </c>
      <c r="I109" s="6">
        <f t="shared" si="14"/>
        <v>15.300000000000004</v>
      </c>
    </row>
    <row r="110" spans="1:9" ht="37.5">
      <c r="A110" s="17" t="s">
        <v>47</v>
      </c>
      <c r="B110" s="81"/>
      <c r="C110" s="68">
        <v>1050</v>
      </c>
      <c r="D110" s="80">
        <f>149.7+2.5+4.1+81.3+2.1+67.3+8+8.2+93.7+3.3+1.1+74.6+81.4+0.6+75.3+2.1+80.5+10.7+71.3+4+7.4+75.3+5.3</f>
        <v>909.7999999999998</v>
      </c>
      <c r="E110" s="6">
        <f>D110/D103*100</f>
        <v>6.804735940643675</v>
      </c>
      <c r="F110" s="6" t="e">
        <f t="shared" si="15"/>
        <v>#DIV/0!</v>
      </c>
      <c r="G110" s="6">
        <f t="shared" si="12"/>
        <v>86.64761904761903</v>
      </c>
      <c r="H110" s="6">
        <f t="shared" si="16"/>
        <v>-909.7999999999998</v>
      </c>
      <c r="I110" s="6">
        <f t="shared" si="14"/>
        <v>140.20000000000016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/>
      <c r="C112" s="60">
        <f>51.6+22.9-10</f>
        <v>64.5</v>
      </c>
      <c r="D112" s="84">
        <f>22.9</f>
        <v>22.9</v>
      </c>
      <c r="E112" s="19">
        <f>D112/D103*100</f>
        <v>0.17127770173745896</v>
      </c>
      <c r="F112" s="6" t="e">
        <f t="shared" si="15"/>
        <v>#DIV/0!</v>
      </c>
      <c r="G112" s="19">
        <f t="shared" si="12"/>
        <v>35.50387596899224</v>
      </c>
      <c r="H112" s="19">
        <f t="shared" si="16"/>
        <v>-22.9</v>
      </c>
      <c r="I112" s="19">
        <f t="shared" si="14"/>
        <v>41.6</v>
      </c>
    </row>
    <row r="113" spans="1:9" ht="37.5">
      <c r="A113" s="17" t="s">
        <v>60</v>
      </c>
      <c r="B113" s="81"/>
      <c r="C113" s="68">
        <f>488.6-250</f>
        <v>238.60000000000002</v>
      </c>
      <c r="D113" s="80">
        <f>4.9+70</f>
        <v>74.9</v>
      </c>
      <c r="E113" s="6">
        <f>D113/D103*100</f>
        <v>0.5602052340670601</v>
      </c>
      <c r="F113" s="6" t="e">
        <f>D113/B113*100</f>
        <v>#DIV/0!</v>
      </c>
      <c r="G113" s="6">
        <f t="shared" si="12"/>
        <v>31.391450125733446</v>
      </c>
      <c r="H113" s="6">
        <f t="shared" si="16"/>
        <v>-74.9</v>
      </c>
      <c r="I113" s="6">
        <f t="shared" si="14"/>
        <v>163.70000000000002</v>
      </c>
    </row>
    <row r="114" spans="1:9" s="2" customFormat="1" ht="18.75">
      <c r="A114" s="17" t="s">
        <v>16</v>
      </c>
      <c r="B114" s="81"/>
      <c r="C114" s="60">
        <f>153.4+26.9</f>
        <v>180.3</v>
      </c>
      <c r="D114" s="80">
        <f>13.5+13.4+14.3+0.8+6.9+0.4+13.5-0.1+0.8+0.5+2+13.5-0.1+0.1+13.9+0.3+2.4+13.5+0.3+6.3+13.5+3.9+0.8+13.5+13.5</f>
        <v>161.4</v>
      </c>
      <c r="E114" s="6">
        <f>D114/D103*100</f>
        <v>1.2071712253461082</v>
      </c>
      <c r="F114" s="6" t="e">
        <f t="shared" si="15"/>
        <v>#DIV/0!</v>
      </c>
      <c r="G114" s="6">
        <f t="shared" si="12"/>
        <v>89.51747088186356</v>
      </c>
      <c r="H114" s="6">
        <f t="shared" si="16"/>
        <v>-161.4</v>
      </c>
      <c r="I114" s="6">
        <f t="shared" si="14"/>
        <v>18.900000000000006</v>
      </c>
    </row>
    <row r="115" spans="1:9" s="39" customFormat="1" ht="18">
      <c r="A115" s="40" t="s">
        <v>54</v>
      </c>
      <c r="B115" s="82"/>
      <c r="C115" s="51">
        <f>121.2+27</f>
        <v>148.2</v>
      </c>
      <c r="D115" s="83">
        <f>13.5+13.4+13.5+13.5+13.4+13.5+13.5+13.5+13.5+13.5-0.1</f>
        <v>134.70000000000002</v>
      </c>
      <c r="E115" s="1"/>
      <c r="F115" s="1" t="e">
        <f t="shared" si="15"/>
        <v>#DIV/0!</v>
      </c>
      <c r="G115" s="1">
        <f t="shared" si="12"/>
        <v>90.89068825910933</v>
      </c>
      <c r="H115" s="1">
        <f t="shared" si="16"/>
        <v>-134.70000000000002</v>
      </c>
      <c r="I115" s="1">
        <f t="shared" si="14"/>
        <v>13.499999999999972</v>
      </c>
    </row>
    <row r="116" spans="1:9" s="2" customFormat="1" ht="18.75">
      <c r="A116" s="17" t="s">
        <v>25</v>
      </c>
      <c r="B116" s="81"/>
      <c r="C116" s="60">
        <f>86.7+250</f>
        <v>336.7</v>
      </c>
      <c r="D116" s="80"/>
      <c r="E116" s="6">
        <f>D116/D103*100</f>
        <v>0</v>
      </c>
      <c r="F116" s="6" t="e">
        <f t="shared" si="15"/>
        <v>#DIV/0!</v>
      </c>
      <c r="G116" s="6">
        <f t="shared" si="12"/>
        <v>0</v>
      </c>
      <c r="H116" s="6">
        <f t="shared" si="16"/>
        <v>0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/>
      <c r="C117" s="60">
        <f>94.7+700-3.5</f>
        <v>791.2</v>
      </c>
      <c r="D117" s="84">
        <f>16.2+3.7+20.7+6.7+10.5+53</f>
        <v>110.8</v>
      </c>
      <c r="E117" s="19">
        <f>D117/D103*100</f>
        <v>0.8287148188869194</v>
      </c>
      <c r="F117" s="6" t="e">
        <f t="shared" si="15"/>
        <v>#DIV/0!</v>
      </c>
      <c r="G117" s="6">
        <f t="shared" si="12"/>
        <v>14.004044489383213</v>
      </c>
      <c r="H117" s="6">
        <f t="shared" si="16"/>
        <v>-110.8</v>
      </c>
      <c r="I117" s="6">
        <f t="shared" si="14"/>
        <v>680.4000000000001</v>
      </c>
    </row>
    <row r="118" spans="1:9" s="117" customFormat="1" ht="18">
      <c r="A118" s="29" t="s">
        <v>108</v>
      </c>
      <c r="B118" s="82"/>
      <c r="C118" s="51">
        <v>70</v>
      </c>
      <c r="D118" s="80"/>
      <c r="E118" s="6"/>
      <c r="F118" s="1" t="e">
        <f>D118/B118*100</f>
        <v>#DIV/0!</v>
      </c>
      <c r="G118" s="1">
        <f t="shared" si="12"/>
        <v>0</v>
      </c>
      <c r="H118" s="1">
        <f t="shared" si="16"/>
        <v>0</v>
      </c>
      <c r="I118" s="1">
        <f t="shared" si="14"/>
        <v>70</v>
      </c>
    </row>
    <row r="119" spans="1:9" s="117" customFormat="1" ht="18">
      <c r="A119" s="29" t="s">
        <v>66</v>
      </c>
      <c r="B119" s="82"/>
      <c r="C119" s="51">
        <v>9.7</v>
      </c>
      <c r="D119" s="83">
        <f>6.2</f>
        <v>6.2</v>
      </c>
      <c r="E119" s="6"/>
      <c r="F119" s="1" t="e">
        <f>D119/B119*100</f>
        <v>#DIV/0!</v>
      </c>
      <c r="G119" s="1">
        <f t="shared" si="12"/>
        <v>63.917525773195884</v>
      </c>
      <c r="H119" s="1">
        <f t="shared" si="16"/>
        <v>-6.2</v>
      </c>
      <c r="I119" s="1">
        <f t="shared" si="14"/>
        <v>3.499999999999999</v>
      </c>
    </row>
    <row r="120" spans="1:9" s="2" customFormat="1" ht="37.5">
      <c r="A120" s="17" t="s">
        <v>49</v>
      </c>
      <c r="B120" s="81"/>
      <c r="C120" s="60">
        <v>1700.1</v>
      </c>
      <c r="D120" s="84">
        <f>196.6+25+11.8+12.7+6.1+3.1+261.8+113.5+10.8+196.3+110+87.9+5.6+129.1+50</f>
        <v>1220.3</v>
      </c>
      <c r="E120" s="19">
        <f>D120/D103*100</f>
        <v>9.127082071188699</v>
      </c>
      <c r="F120" s="6" t="e">
        <f t="shared" si="15"/>
        <v>#DIV/0!</v>
      </c>
      <c r="G120" s="6">
        <f t="shared" si="12"/>
        <v>71.77813069819422</v>
      </c>
      <c r="H120" s="6">
        <f t="shared" si="16"/>
        <v>-1220.3</v>
      </c>
      <c r="I120" s="6">
        <f t="shared" si="14"/>
        <v>479.79999999999995</v>
      </c>
    </row>
    <row r="121" spans="1:9" s="2" customFormat="1" ht="56.25">
      <c r="A121" s="17" t="s">
        <v>56</v>
      </c>
      <c r="B121" s="81"/>
      <c r="C121" s="60">
        <f>157.1+1.2</f>
        <v>158.29999999999998</v>
      </c>
      <c r="D121" s="84">
        <f>3.8+0.6</f>
        <v>4.3999999999999995</v>
      </c>
      <c r="E121" s="19">
        <f>D121/D103*100</f>
        <v>0.03290925273558163</v>
      </c>
      <c r="F121" s="6" t="e">
        <f t="shared" si="15"/>
        <v>#DIV/0!</v>
      </c>
      <c r="G121" s="6">
        <f t="shared" si="12"/>
        <v>2.779532533164877</v>
      </c>
      <c r="H121" s="6">
        <f t="shared" si="16"/>
        <v>-4.3999999999999995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/>
      <c r="C123" s="60">
        <v>50</v>
      </c>
      <c r="D123" s="84">
        <f>16.8+4.6+2.6+2.5+4.9+4.9+7.6+5.3</f>
        <v>49.199999999999996</v>
      </c>
      <c r="E123" s="19">
        <f>D123/D103*100</f>
        <v>0.36798528058877644</v>
      </c>
      <c r="F123" s="6" t="e">
        <f t="shared" si="15"/>
        <v>#DIV/0!</v>
      </c>
      <c r="G123" s="6">
        <f t="shared" si="12"/>
        <v>98.39999999999999</v>
      </c>
      <c r="H123" s="6">
        <f t="shared" si="16"/>
        <v>-49.199999999999996</v>
      </c>
      <c r="I123" s="6">
        <f t="shared" si="14"/>
        <v>0.8000000000000043</v>
      </c>
    </row>
    <row r="124" spans="1:9" s="2" customFormat="1" ht="37.5">
      <c r="A124" s="17" t="s">
        <v>81</v>
      </c>
      <c r="B124" s="81"/>
      <c r="C124" s="60">
        <v>84.7</v>
      </c>
      <c r="D124" s="84">
        <f>18.3+9.7+14.1+4</f>
        <v>46.1</v>
      </c>
      <c r="E124" s="19">
        <f>D124/D103*100</f>
        <v>0.3447992161614349</v>
      </c>
      <c r="F124" s="6" t="e">
        <f t="shared" si="15"/>
        <v>#DIV/0!</v>
      </c>
      <c r="G124" s="6">
        <f t="shared" si="12"/>
        <v>54.42739079102715</v>
      </c>
      <c r="H124" s="6">
        <f t="shared" si="16"/>
        <v>-46.1</v>
      </c>
      <c r="I124" s="6">
        <f t="shared" si="14"/>
        <v>38.6</v>
      </c>
    </row>
    <row r="125" spans="1:9" s="2" customFormat="1" ht="18.75">
      <c r="A125" s="17" t="s">
        <v>75</v>
      </c>
      <c r="B125" s="81"/>
      <c r="C125" s="60">
        <v>178.8</v>
      </c>
      <c r="D125" s="84">
        <f>7.2+1.4+9.3+6.8+7.7+4.3+1.8+6+21.8+13.1+2.5+17+2.4+20.7+0.2+12.9+12.9+7.7+4</f>
        <v>159.7</v>
      </c>
      <c r="E125" s="19">
        <f>D125/D103*100</f>
        <v>1.1944562867891788</v>
      </c>
      <c r="F125" s="6" t="e">
        <f t="shared" si="15"/>
        <v>#DIV/0!</v>
      </c>
      <c r="G125" s="6">
        <f t="shared" si="12"/>
        <v>89.31767337807605</v>
      </c>
      <c r="H125" s="6">
        <f t="shared" si="16"/>
        <v>-159.7</v>
      </c>
      <c r="I125" s="6">
        <f t="shared" si="14"/>
        <v>19.100000000000023</v>
      </c>
    </row>
    <row r="126" spans="1:9" s="2" customFormat="1" ht="35.25" customHeight="1">
      <c r="A126" s="17" t="s">
        <v>74</v>
      </c>
      <c r="B126" s="81"/>
      <c r="C126" s="60">
        <v>67.6</v>
      </c>
      <c r="D126" s="84">
        <f>0.5+1.5+0.1+14.8</f>
        <v>16.900000000000002</v>
      </c>
      <c r="E126" s="19">
        <f>D126/D103*100</f>
        <v>0.1264014480071204</v>
      </c>
      <c r="F126" s="6" t="e">
        <f t="shared" si="15"/>
        <v>#DIV/0!</v>
      </c>
      <c r="G126" s="6">
        <f t="shared" si="12"/>
        <v>25.000000000000007</v>
      </c>
      <c r="H126" s="6">
        <f t="shared" si="16"/>
        <v>-16.900000000000002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/>
      <c r="C127" s="60">
        <f>60-40</f>
        <v>20</v>
      </c>
      <c r="D127" s="84"/>
      <c r="E127" s="19">
        <f>D127/D103*100</f>
        <v>0</v>
      </c>
      <c r="F127" s="6" t="e">
        <f t="shared" si="15"/>
        <v>#DIV/0!</v>
      </c>
      <c r="G127" s="6">
        <f t="shared" si="12"/>
        <v>0</v>
      </c>
      <c r="H127" s="6">
        <f t="shared" si="16"/>
        <v>0</v>
      </c>
      <c r="I127" s="6">
        <f t="shared" si="14"/>
        <v>20</v>
      </c>
    </row>
    <row r="128" spans="1:9" s="2" customFormat="1" ht="18.75">
      <c r="A128" s="17" t="s">
        <v>101</v>
      </c>
      <c r="B128" s="81"/>
      <c r="C128" s="60">
        <f>115-64.6</f>
        <v>50.400000000000006</v>
      </c>
      <c r="D128" s="84"/>
      <c r="E128" s="19">
        <f>D128/D103*100</f>
        <v>0</v>
      </c>
      <c r="F128" s="6" t="e">
        <f t="shared" si="15"/>
        <v>#DIV/0!</v>
      </c>
      <c r="G128" s="6">
        <f>D128/C128*100</f>
        <v>0</v>
      </c>
      <c r="H128" s="6">
        <f t="shared" si="16"/>
        <v>0</v>
      </c>
      <c r="I128" s="6">
        <f t="shared" si="14"/>
        <v>50.400000000000006</v>
      </c>
    </row>
    <row r="129" spans="1:9" s="2" customFormat="1" ht="18.75">
      <c r="A129" s="17" t="s">
        <v>32</v>
      </c>
      <c r="B129" s="81"/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21.4+1.2+34.6+22.6+3.4+31.2+5.1+22.6+3+44.8+0.2+32.7+27.3+30.6+3.7+29.7+4.3+33.6+0.1+0.1+6.3+25.5+0.4+38.4+0.1+0.3+0.6+29.7+0.1+36.6+5.6+24.5+3.6+36.9+0.1+40+14.7+5+25+0.1+0.6+0.1+28.8+7.1+33.8+0.1+35.1+26.9+9.7</f>
        <v>787.9000000000003</v>
      </c>
      <c r="E129" s="19">
        <f>D129/D103*100</f>
        <v>5.8930000523556325</v>
      </c>
      <c r="F129" s="6" t="e">
        <f t="shared" si="15"/>
        <v>#DIV/0!</v>
      </c>
      <c r="G129" s="6">
        <f t="shared" si="12"/>
        <v>90.75097903708826</v>
      </c>
      <c r="H129" s="6">
        <f t="shared" si="16"/>
        <v>-787.9000000000003</v>
      </c>
      <c r="I129" s="6">
        <f t="shared" si="14"/>
        <v>80.29999999999973</v>
      </c>
    </row>
    <row r="130" spans="1:9" s="39" customFormat="1" ht="18">
      <c r="A130" s="40" t="s">
        <v>54</v>
      </c>
      <c r="B130" s="82"/>
      <c r="C130" s="51">
        <v>747.1</v>
      </c>
      <c r="D130" s="83">
        <f>21.4+1.2+34.6+22.6+31.2+22.6+44.8+0.2+32.7+30.6+29.7+33.6+24.3+38.4+29.7+36.6+5.6+24.5+36.9+39.8+25+0.6+28.8+33.8+33.8+26.9+0.1</f>
        <v>689.9999999999999</v>
      </c>
      <c r="E130" s="1">
        <f>D130/D129*100</f>
        <v>87.57456530016495</v>
      </c>
      <c r="F130" s="1" t="e">
        <f>D130/B130*100</f>
        <v>#DIV/0!</v>
      </c>
      <c r="G130" s="1">
        <f t="shared" si="12"/>
        <v>92.35711417480924</v>
      </c>
      <c r="H130" s="1">
        <f t="shared" si="16"/>
        <v>-689.9999999999999</v>
      </c>
      <c r="I130" s="1">
        <f t="shared" si="14"/>
        <v>57.100000000000136</v>
      </c>
    </row>
    <row r="131" spans="1:9" s="39" customFormat="1" ht="18">
      <c r="A131" s="29" t="s">
        <v>33</v>
      </c>
      <c r="B131" s="82"/>
      <c r="C131" s="51">
        <f>27.4-3</f>
        <v>24.4</v>
      </c>
      <c r="D131" s="83">
        <f>3.4+3+2.7+1.6-0.1+0.1+0.1+0.1+0.1+0.1+1.3</f>
        <v>12.4</v>
      </c>
      <c r="E131" s="1">
        <f>D131/D129*100</f>
        <v>1.573803782205863</v>
      </c>
      <c r="F131" s="1" t="e">
        <f>D131/B131*100</f>
        <v>#DIV/0!</v>
      </c>
      <c r="G131" s="1">
        <f>D131/C131*100</f>
        <v>50.81967213114754</v>
      </c>
      <c r="H131" s="1">
        <f t="shared" si="16"/>
        <v>-12.4</v>
      </c>
      <c r="I131" s="1">
        <f t="shared" si="14"/>
        <v>11.999999999999998</v>
      </c>
    </row>
    <row r="132" spans="1:9" s="2" customFormat="1" ht="18.75">
      <c r="A132" s="17" t="s">
        <v>27</v>
      </c>
      <c r="B132" s="81"/>
      <c r="C132" s="60">
        <v>8376</v>
      </c>
      <c r="D132" s="84">
        <f>1513.1+580.9+2094+2094+2094</f>
        <v>8376</v>
      </c>
      <c r="E132" s="19">
        <f>D132/D103*100</f>
        <v>62.64725020755269</v>
      </c>
      <c r="F132" s="6" t="e">
        <f t="shared" si="15"/>
        <v>#DIV/0!</v>
      </c>
      <c r="G132" s="6">
        <f t="shared" si="12"/>
        <v>100</v>
      </c>
      <c r="H132" s="6">
        <f t="shared" si="16"/>
        <v>-8376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/>
      <c r="C133" s="60">
        <v>475.8</v>
      </c>
      <c r="D133" s="84">
        <f>90+165.6+35+30+20+35.1+20+40+40.1</f>
        <v>475.80000000000007</v>
      </c>
      <c r="E133" s="19">
        <f>D133/D103*100</f>
        <v>3.558686920815851</v>
      </c>
      <c r="F133" s="114" t="e">
        <f>D133/B133*100</f>
        <v>#DIV/0!</v>
      </c>
      <c r="G133" s="6">
        <f t="shared" si="12"/>
        <v>100.00000000000003</v>
      </c>
      <c r="H133" s="6">
        <f t="shared" si="16"/>
        <v>-475.80000000000007</v>
      </c>
      <c r="I133" s="6">
        <f t="shared" si="14"/>
        <v>0</v>
      </c>
      <c r="K133" s="45"/>
      <c r="L133" s="45"/>
    </row>
    <row r="134" spans="1:12" s="2" customFormat="1" ht="19.5" customHeight="1">
      <c r="A134" s="17" t="s">
        <v>67</v>
      </c>
      <c r="B134" s="81"/>
      <c r="C134" s="60">
        <v>10.6</v>
      </c>
      <c r="D134" s="84"/>
      <c r="E134" s="19">
        <f>D134/D103*100</f>
        <v>0</v>
      </c>
      <c r="F134" s="6"/>
      <c r="G134" s="6">
        <f t="shared" si="12"/>
        <v>0</v>
      </c>
      <c r="H134" s="6">
        <f t="shared" si="16"/>
        <v>0</v>
      </c>
      <c r="I134" s="6">
        <f t="shared" si="14"/>
        <v>10.6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0</v>
      </c>
      <c r="C136" s="85">
        <f>C41+C66+C69+C74+C76+C84+C98+C103+C96+C81+C94</f>
        <v>25351.699999999997</v>
      </c>
      <c r="D136" s="60">
        <f>D41+D66+D69+D74+D76+D84+D98+D103+D96+D81+D94</f>
        <v>18796.399999999998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0</v>
      </c>
      <c r="C137" s="54">
        <f>C6+C17+C31+C41+C49+C56+C66+C69+C74+C76+C84+C87+C92+C98+C103+C96+C81+C94+C43</f>
        <v>645616.3</v>
      </c>
      <c r="D137" s="54">
        <f>D6+D17+D31+D41+D49+D56+D66+D69+D74+D76+D84+D87+D92+D98+D103+D96+D81+D94+D43</f>
        <v>572378.51</v>
      </c>
      <c r="E137" s="38">
        <v>100</v>
      </c>
      <c r="F137" s="3" t="e">
        <f>D137/B137*100</f>
        <v>#DIV/0!</v>
      </c>
      <c r="G137" s="3">
        <f aca="true" t="shared" si="17" ref="G137:G143">D137/C137*100</f>
        <v>88.6561429753245</v>
      </c>
      <c r="H137" s="3">
        <f aca="true" t="shared" si="18" ref="H137:H143">B137-D137</f>
        <v>-572378.51</v>
      </c>
      <c r="I137" s="3">
        <f aca="true" t="shared" si="19" ref="I137:I143">C137-D137</f>
        <v>73237.79000000004</v>
      </c>
      <c r="K137" s="46"/>
      <c r="L137" s="47"/>
    </row>
    <row r="138" spans="1:12" ht="18.75">
      <c r="A138" s="23" t="s">
        <v>5</v>
      </c>
      <c r="B138" s="67">
        <f>B7+B18+B32+B50+B57+B88+B111+B115+B44+B130</f>
        <v>0</v>
      </c>
      <c r="C138" s="67">
        <f>C7+C18+C32+C50+C57+C88+C111+C115+C44+C130</f>
        <v>453380.89999999997</v>
      </c>
      <c r="D138" s="67">
        <f>D7+D18+D32+D50+D57+D88+D111+D115+D44+D130</f>
        <v>428636</v>
      </c>
      <c r="E138" s="6">
        <f>D138/D137*100</f>
        <v>74.88680873081695</v>
      </c>
      <c r="F138" s="6" t="e">
        <f aca="true" t="shared" si="20" ref="F138:F149">D138/B138*100</f>
        <v>#DIV/0!</v>
      </c>
      <c r="G138" s="6">
        <f t="shared" si="17"/>
        <v>94.54213885057796</v>
      </c>
      <c r="H138" s="6">
        <f t="shared" si="18"/>
        <v>-428636</v>
      </c>
      <c r="I138" s="18">
        <f t="shared" si="19"/>
        <v>24744.899999999965</v>
      </c>
      <c r="K138" s="46"/>
      <c r="L138" s="47"/>
    </row>
    <row r="139" spans="1:12" ht="18.75">
      <c r="A139" s="23" t="s">
        <v>0</v>
      </c>
      <c r="B139" s="68">
        <f>B10+B21+B34+B53+B59+B89+B47+B131+B105+B108</f>
        <v>0</v>
      </c>
      <c r="C139" s="68">
        <f>C10+C21+C34+C53+C59+C89+C47+C131+C105+C108</f>
        <v>64569.1</v>
      </c>
      <c r="D139" s="68">
        <f>D10+D21+D34+D53+D59+D89+D47+D131+D105+D108</f>
        <v>39859.6</v>
      </c>
      <c r="E139" s="6">
        <f>D139/D137*100</f>
        <v>6.96385334243244</v>
      </c>
      <c r="F139" s="6" t="e">
        <f t="shared" si="20"/>
        <v>#DIV/0!</v>
      </c>
      <c r="G139" s="6">
        <f t="shared" si="17"/>
        <v>61.73169519166288</v>
      </c>
      <c r="H139" s="6">
        <f t="shared" si="18"/>
        <v>-39859.6</v>
      </c>
      <c r="I139" s="18">
        <f t="shared" si="19"/>
        <v>24709.5</v>
      </c>
      <c r="K139" s="46"/>
      <c r="L139" s="103"/>
    </row>
    <row r="140" spans="1:12" ht="18.75">
      <c r="A140" s="23" t="s">
        <v>1</v>
      </c>
      <c r="B140" s="67">
        <f>B20+B9+B52+B46+B58+B33+B99+B119</f>
        <v>0</v>
      </c>
      <c r="C140" s="67">
        <f>C20+C9+C52+C46+C58+C33+C99+C119</f>
        <v>20514.600000000002</v>
      </c>
      <c r="D140" s="67">
        <f>D20+D9+D52+D46+D58+D33+D99+D119</f>
        <v>18173.600000000002</v>
      </c>
      <c r="E140" s="6">
        <f>D140/D137*100</f>
        <v>3.1751017346895156</v>
      </c>
      <c r="F140" s="6" t="e">
        <f t="shared" si="20"/>
        <v>#DIV/0!</v>
      </c>
      <c r="G140" s="6">
        <f t="shared" si="17"/>
        <v>88.58861493765417</v>
      </c>
      <c r="H140" s="6">
        <f t="shared" si="18"/>
        <v>-18173.600000000002</v>
      </c>
      <c r="I140" s="18">
        <f t="shared" si="19"/>
        <v>2341</v>
      </c>
      <c r="K140" s="46"/>
      <c r="L140" s="47"/>
    </row>
    <row r="141" spans="1:12" ht="21" customHeight="1">
      <c r="A141" s="23" t="s">
        <v>15</v>
      </c>
      <c r="B141" s="67">
        <f>B11+B22+B100+B60+B36+B90</f>
        <v>0</v>
      </c>
      <c r="C141" s="67">
        <f>C11+C22+C100+C60+C36+C90</f>
        <v>9376.3</v>
      </c>
      <c r="D141" s="67">
        <f>D11+D22+D100+D60+D36+D90</f>
        <v>6706.300000000001</v>
      </c>
      <c r="E141" s="6">
        <f>D141/D137*100</f>
        <v>1.1716547499311254</v>
      </c>
      <c r="F141" s="6" t="e">
        <f t="shared" si="20"/>
        <v>#DIV/0!</v>
      </c>
      <c r="G141" s="6">
        <f t="shared" si="17"/>
        <v>71.52394867911651</v>
      </c>
      <c r="H141" s="6">
        <f t="shared" si="18"/>
        <v>-6706.300000000001</v>
      </c>
      <c r="I141" s="18">
        <f t="shared" si="19"/>
        <v>2669.999999999998</v>
      </c>
      <c r="K141" s="46"/>
      <c r="L141" s="103"/>
    </row>
    <row r="142" spans="1:12" ht="18.75">
      <c r="A142" s="23" t="s">
        <v>2</v>
      </c>
      <c r="B142" s="67">
        <f>B8+B19+B45+B51+B118</f>
        <v>0</v>
      </c>
      <c r="C142" s="67">
        <f>C8+C19+C45+C51+C118</f>
        <v>7843.1</v>
      </c>
      <c r="D142" s="67">
        <f>D8+D19+D45+D51+D118</f>
        <v>6039.499999999998</v>
      </c>
      <c r="E142" s="6">
        <f>D142/D137*100</f>
        <v>1.0551584125686337</v>
      </c>
      <c r="F142" s="6" t="e">
        <f t="shared" si="20"/>
        <v>#DIV/0!</v>
      </c>
      <c r="G142" s="6">
        <f t="shared" si="17"/>
        <v>77.00399076895611</v>
      </c>
      <c r="H142" s="6">
        <f t="shared" si="18"/>
        <v>-6039.499999999998</v>
      </c>
      <c r="I142" s="18">
        <f t="shared" si="19"/>
        <v>1803.6000000000022</v>
      </c>
      <c r="K142" s="46"/>
      <c r="L142" s="47"/>
    </row>
    <row r="143" spans="1:12" ht="19.5" thickBot="1">
      <c r="A143" s="23" t="s">
        <v>35</v>
      </c>
      <c r="B143" s="67">
        <f>B137-B138-B139-B140-B141-B142</f>
        <v>0</v>
      </c>
      <c r="C143" s="67">
        <f>C137-C138-C139-C140-C141-C142</f>
        <v>89932.30000000006</v>
      </c>
      <c r="D143" s="67">
        <f>D137-D138-D139-D140-D141-D142</f>
        <v>72963.51</v>
      </c>
      <c r="E143" s="6">
        <f>D143/D137*100</f>
        <v>12.747423029561327</v>
      </c>
      <c r="F143" s="6" t="e">
        <f t="shared" si="20"/>
        <v>#DIV/0!</v>
      </c>
      <c r="G143" s="43">
        <f t="shared" si="17"/>
        <v>81.13159565584328</v>
      </c>
      <c r="H143" s="6">
        <f t="shared" si="18"/>
        <v>-72963.51</v>
      </c>
      <c r="I143" s="6">
        <f t="shared" si="19"/>
        <v>16968.790000000066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/>
      <c r="C145" s="74">
        <f>77971.6-8326.2+721.6-624+493.4-844.7</f>
        <v>69391.70000000001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+6.1+237.8+608.5+22.7+3.4+91.7+429.1+24.9+9.9</f>
        <v>20720.600000000002</v>
      </c>
      <c r="E145" s="15"/>
      <c r="F145" s="6" t="e">
        <f t="shared" si="20"/>
        <v>#DIV/0!</v>
      </c>
      <c r="G145" s="6">
        <f aca="true" t="shared" si="21" ref="G145:G154">D145/C145*100</f>
        <v>29.860343528116474</v>
      </c>
      <c r="H145" s="6">
        <f>B145-D145</f>
        <v>-20720.600000000002</v>
      </c>
      <c r="I145" s="6">
        <f aca="true" t="shared" si="22" ref="I145:I154">C145-D145</f>
        <v>48671.100000000006</v>
      </c>
      <c r="J145" s="105"/>
      <c r="K145" s="46"/>
      <c r="L145" s="46"/>
    </row>
    <row r="146" spans="1:12" ht="18.75">
      <c r="A146" s="23" t="s">
        <v>22</v>
      </c>
      <c r="B146" s="89"/>
      <c r="C146" s="67">
        <f>23644.2-130+4631.1-195-144.4+10.6</f>
        <v>27816.5</v>
      </c>
      <c r="D146" s="67">
        <f>2921.3+155.4+1707.9+56.8+14.6+990.8-990.8+14.7+990.8+400.1+597.2+8.8-9.6+18.2+0.4+53.9+92.1+242.6+11.1+67.1+121.7-0.1+4651+87.1+10.9+599.2+6.1+125.7+1609.1+381.4+0.1</f>
        <v>14935.600000000002</v>
      </c>
      <c r="E146" s="6"/>
      <c r="F146" s="6" t="e">
        <f t="shared" si="20"/>
        <v>#DIV/0!</v>
      </c>
      <c r="G146" s="6">
        <f t="shared" si="21"/>
        <v>53.69331152373592</v>
      </c>
      <c r="H146" s="6">
        <f aca="true" t="shared" si="23" ref="H146:H153">B146-D146</f>
        <v>-14935.600000000002</v>
      </c>
      <c r="I146" s="6">
        <f t="shared" si="22"/>
        <v>12880.899999999998</v>
      </c>
      <c r="K146" s="46"/>
      <c r="L146" s="46"/>
    </row>
    <row r="147" spans="1:12" ht="18.75">
      <c r="A147" s="23" t="s">
        <v>63</v>
      </c>
      <c r="B147" s="89"/>
      <c r="C147" s="67">
        <f>109130.7-6200+130-3633.3+1677.5-526.6+624+0.1-349-1221+844.7</f>
        <v>100477.09999999999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+281.6+93.7+390.8+29.7+586.5+185.4+104.2+16.5+61.8+514.1-0.1+113.5+406+602.3+809.6-0.1+191.5+182.1+298.5+436</f>
        <v>28786.699999999993</v>
      </c>
      <c r="E147" s="6"/>
      <c r="F147" s="6" t="e">
        <f t="shared" si="20"/>
        <v>#DIV/0!</v>
      </c>
      <c r="G147" s="6">
        <f t="shared" si="21"/>
        <v>28.650010798480448</v>
      </c>
      <c r="H147" s="6">
        <f t="shared" si="23"/>
        <v>-28786.699999999993</v>
      </c>
      <c r="I147" s="6">
        <f t="shared" si="22"/>
        <v>71690.4</v>
      </c>
      <c r="K147" s="46"/>
      <c r="L147" s="46"/>
    </row>
    <row r="148" spans="1:12" ht="37.5">
      <c r="A148" s="23" t="s">
        <v>72</v>
      </c>
      <c r="B148" s="89"/>
      <c r="C148" s="67">
        <f>6200+2078.4-1678.4+1221</f>
        <v>7821</v>
      </c>
      <c r="D148" s="67">
        <f>5500+500+400+510+31.5+114+251.5</f>
        <v>7307</v>
      </c>
      <c r="E148" s="6"/>
      <c r="F148" s="6" t="e">
        <f t="shared" si="20"/>
        <v>#DIV/0!</v>
      </c>
      <c r="G148" s="6">
        <f t="shared" si="21"/>
        <v>93.4279503899757</v>
      </c>
      <c r="H148" s="6">
        <f t="shared" si="23"/>
        <v>-7307</v>
      </c>
      <c r="I148" s="6">
        <f t="shared" si="22"/>
        <v>514</v>
      </c>
      <c r="K148" s="46"/>
      <c r="L148" s="46"/>
    </row>
    <row r="149" spans="1:12" ht="18.75">
      <c r="A149" s="23" t="s">
        <v>13</v>
      </c>
      <c r="B149" s="89"/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1079.6+99+23+18.9+98+142.5+46.8+99.4+162.7+67+248.3+33.5+121.9+230+22.3+285.4+115.2+35.8+49.4+183.7+191.3+33.3+185.2+84+58.5+292+106.6+183+86.3+174.6+91.3+158.5+177.9+89.5+71.7+48.6+104.9+179.9+89.6+293+119.5+2.7+259.3+89.3+106.5+4.4</f>
        <v>6443.800000000001</v>
      </c>
      <c r="E149" s="19"/>
      <c r="F149" s="6" t="e">
        <f t="shared" si="20"/>
        <v>#DIV/0!</v>
      </c>
      <c r="G149" s="6">
        <f t="shared" si="21"/>
        <v>33.100465393426965</v>
      </c>
      <c r="H149" s="6">
        <f t="shared" si="23"/>
        <v>-6443.800000000001</v>
      </c>
      <c r="I149" s="6">
        <f t="shared" si="22"/>
        <v>13023.6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/>
      <c r="C151" s="67">
        <f>790+361.2</f>
        <v>1151.2</v>
      </c>
      <c r="D151" s="67">
        <f>371+201.4+67.1+225.1+10.2+160.5</f>
        <v>1035.3000000000002</v>
      </c>
      <c r="E151" s="19"/>
      <c r="F151" s="6" t="e">
        <f>D151/B151*100</f>
        <v>#DIV/0!</v>
      </c>
      <c r="G151" s="6">
        <f t="shared" si="21"/>
        <v>89.93224461431551</v>
      </c>
      <c r="H151" s="6">
        <f t="shared" si="23"/>
        <v>-1035.3000000000002</v>
      </c>
      <c r="I151" s="6">
        <f t="shared" si="22"/>
        <v>115.89999999999986</v>
      </c>
    </row>
    <row r="152" spans="1:9" ht="19.5" customHeight="1">
      <c r="A152" s="23" t="s">
        <v>70</v>
      </c>
      <c r="B152" s="89"/>
      <c r="C152" s="67">
        <v>1945.7</v>
      </c>
      <c r="D152" s="67">
        <f>1118.3+480+39.8</f>
        <v>1638.1</v>
      </c>
      <c r="E152" s="19"/>
      <c r="F152" s="6" t="e">
        <f>D152/B152*100</f>
        <v>#DIV/0!</v>
      </c>
      <c r="G152" s="6">
        <f t="shared" si="21"/>
        <v>84.19077966798581</v>
      </c>
      <c r="H152" s="6">
        <f t="shared" si="23"/>
        <v>-1638.1</v>
      </c>
      <c r="I152" s="6">
        <f t="shared" si="22"/>
        <v>307.60000000000014</v>
      </c>
    </row>
    <row r="153" spans="1:9" ht="19.5" thickBot="1">
      <c r="A153" s="23" t="s">
        <v>64</v>
      </c>
      <c r="B153" s="89"/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95.1+9.9+65+49.9+275.1+44.8+19.5+19.1+33.5+61.7+72.9+34.3+99.3+27.3+72.8+14.7+35.2+85.4+11.5+60.4+184.8+172.3+16.1+13.5-164.2+155.7+143.9+51.2+27.5+0.1+66.5+80.3+223.6+20.6+22+4.5+39.3+8.8+23.4+7.8+644.7+33.2+61+117.3+53.4+51.8-0.1+6.8+80.5</f>
        <v>3333.7000000000007</v>
      </c>
      <c r="E153" s="24"/>
      <c r="F153" s="6" t="e">
        <f>D153/B153*100</f>
        <v>#DIV/0!</v>
      </c>
      <c r="G153" s="6">
        <f t="shared" si="21"/>
        <v>37.5996751745373</v>
      </c>
      <c r="H153" s="6">
        <f t="shared" si="23"/>
        <v>-3333.7000000000007</v>
      </c>
      <c r="I153" s="6">
        <f t="shared" si="22"/>
        <v>5532.5999999999985</v>
      </c>
    </row>
    <row r="154" spans="1:9" ht="19.5" thickBot="1">
      <c r="A154" s="14" t="s">
        <v>20</v>
      </c>
      <c r="B154" s="91">
        <f>B137+B145+B149+B150+B146+B153+B152+B147+B151+B148</f>
        <v>0</v>
      </c>
      <c r="C154" s="91">
        <f>C137+C145+C149+C150+C146+C153+C152+C147+C151+C148</f>
        <v>882553.2</v>
      </c>
      <c r="D154" s="91">
        <f>D137+D145+D149+D150+D146+D153+D152+D147+D151+D148</f>
        <v>656579.3099999999</v>
      </c>
      <c r="E154" s="25"/>
      <c r="F154" s="3" t="e">
        <f>D154/B154*100</f>
        <v>#DIV/0!</v>
      </c>
      <c r="G154" s="3">
        <f t="shared" si="21"/>
        <v>74.39543701161584</v>
      </c>
      <c r="H154" s="3">
        <f>B154-D154</f>
        <v>-656579.3099999999</v>
      </c>
      <c r="I154" s="3">
        <f t="shared" si="22"/>
        <v>225973.89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33" bottom="0.34" header="0.25" footer="0.18"/>
  <pageSetup fitToHeight="2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645616.3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572378.51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4" sqref="R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645616.3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572378.51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2014-11-28T13:40:47Z</cp:lastPrinted>
  <dcterms:created xsi:type="dcterms:W3CDTF">2000-06-20T04:48:00Z</dcterms:created>
  <dcterms:modified xsi:type="dcterms:W3CDTF">2014-12-05T06:30:26Z</dcterms:modified>
  <cp:category/>
  <cp:version/>
  <cp:contentType/>
  <cp:contentStatus/>
</cp:coreProperties>
</file>